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35D5C952-B910-470A-B9F3-B19508E9A26D}" xr6:coauthVersionLast="47" xr6:coauthVersionMax="47" xr10:uidLastSave="{00000000-0000-0000-0000-000000000000}"/>
  <bookViews>
    <workbookView xWindow="-120" yWindow="-120" windowWidth="29040" windowHeight="15720" tabRatio="558" activeTab="2" xr2:uid="{00000000-000D-0000-FFFF-FFFF00000000}"/>
  </bookViews>
  <sheets>
    <sheet name="راهنما" sheetId="130" r:id="rId1"/>
    <sheet name="اطلاعات سال 1403" sheetId="129" r:id="rId2"/>
    <sheet name="1" sheetId="126" r:id="rId3"/>
  </sheets>
  <definedNames>
    <definedName name="_xlnm._FilterDatabase" localSheetId="2" hidden="1">'1'!$D$1:$XDQ$5</definedName>
    <definedName name="asli">'اطلاعات سال 1403'!$A$1</definedName>
    <definedName name="payesanavat">'اطلاعات سال 1403'!#REF!</definedName>
    <definedName name="_xlnm.Print_Area" localSheetId="2">'1'!$A$1:$AP$28</definedName>
    <definedName name="sanad">#REF!</definedName>
    <definedName name="taxsallary">'اطلاعات سال 1403'!#REF!</definedName>
    <definedName name="ش1">'1'!$I$4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 i="126" l="1"/>
  <c r="AM4" i="126"/>
  <c r="AM5" i="126"/>
  <c r="AM6" i="126"/>
  <c r="AM7" i="126"/>
  <c r="AM8" i="126"/>
  <c r="AM9" i="126"/>
  <c r="AM10" i="126"/>
  <c r="AM11" i="126"/>
  <c r="AM12" i="126"/>
  <c r="AM13" i="126"/>
  <c r="AM14" i="126"/>
  <c r="AM15" i="126"/>
  <c r="AM16" i="126"/>
  <c r="AM2" i="126"/>
  <c r="Y4" i="126"/>
  <c r="Y7" i="126"/>
  <c r="G17" i="126"/>
  <c r="J17" i="126"/>
  <c r="L17" i="126"/>
  <c r="R17" i="126"/>
  <c r="S17" i="126"/>
  <c r="T17" i="126"/>
  <c r="U17" i="126"/>
  <c r="V17" i="126"/>
  <c r="K3" i="126"/>
  <c r="K4" i="126"/>
  <c r="K5" i="126"/>
  <c r="K6" i="126"/>
  <c r="K7" i="126"/>
  <c r="K8" i="126"/>
  <c r="K9" i="126"/>
  <c r="K10" i="126"/>
  <c r="K11" i="126"/>
  <c r="K12" i="126"/>
  <c r="K13" i="126"/>
  <c r="K14" i="126"/>
  <c r="K15" i="126"/>
  <c r="K16" i="126"/>
  <c r="H5" i="126"/>
  <c r="H11" i="126"/>
  <c r="B5" i="130"/>
  <c r="F4" i="129"/>
  <c r="F5" i="129"/>
  <c r="F6" i="129"/>
  <c r="F7" i="129"/>
  <c r="F8" i="129"/>
  <c r="F9" i="129"/>
  <c r="F10" i="129"/>
  <c r="F11" i="129"/>
  <c r="F12" i="129"/>
  <c r="F13" i="129"/>
  <c r="F14" i="129"/>
  <c r="F15" i="129"/>
  <c r="F16" i="129"/>
  <c r="F17" i="129"/>
  <c r="F18" i="129"/>
  <c r="F19" i="129"/>
  <c r="F20" i="129"/>
  <c r="F21" i="129"/>
  <c r="F22" i="129"/>
  <c r="F23" i="129"/>
  <c r="F24" i="129"/>
  <c r="F25" i="129"/>
  <c r="F26" i="129"/>
  <c r="F27" i="129"/>
  <c r="F28" i="129"/>
  <c r="F29" i="129"/>
  <c r="F30" i="129"/>
  <c r="F31" i="129"/>
  <c r="F32" i="129"/>
  <c r="F33" i="129"/>
  <c r="F34" i="129"/>
  <c r="F35" i="129"/>
  <c r="F36" i="129"/>
  <c r="F37" i="129"/>
  <c r="F38" i="129"/>
  <c r="F39" i="129"/>
  <c r="F40" i="129"/>
  <c r="F41" i="129"/>
  <c r="F42" i="129"/>
  <c r="F43" i="129"/>
  <c r="F44" i="129"/>
  <c r="F45" i="129"/>
  <c r="F46" i="129"/>
  <c r="F47" i="129"/>
  <c r="F48" i="129"/>
  <c r="F49" i="129"/>
  <c r="F50" i="129"/>
  <c r="F3" i="129"/>
  <c r="M3" i="126"/>
  <c r="M4" i="126"/>
  <c r="M5" i="126"/>
  <c r="M6" i="126"/>
  <c r="M7" i="126"/>
  <c r="M8" i="126"/>
  <c r="M9" i="126"/>
  <c r="M10" i="126"/>
  <c r="M11" i="126"/>
  <c r="M12" i="126"/>
  <c r="M13" i="126"/>
  <c r="M14" i="126"/>
  <c r="M15" i="126"/>
  <c r="M16" i="126"/>
  <c r="O3" i="126"/>
  <c r="O4" i="126"/>
  <c r="O5" i="126"/>
  <c r="O6" i="126"/>
  <c r="O7" i="126"/>
  <c r="O8" i="126"/>
  <c r="O9" i="126"/>
  <c r="O10" i="126"/>
  <c r="O11" i="126"/>
  <c r="O12" i="126"/>
  <c r="O13" i="126"/>
  <c r="O14" i="126"/>
  <c r="Y14" i="126" s="1"/>
  <c r="O15" i="126"/>
  <c r="O16" i="126"/>
  <c r="O2" i="126"/>
  <c r="O17" i="126" s="1"/>
  <c r="N3" i="126"/>
  <c r="Y3" i="126" s="1"/>
  <c r="N4" i="126"/>
  <c r="N5" i="126"/>
  <c r="Y5" i="126" s="1"/>
  <c r="N6" i="126"/>
  <c r="Y6" i="126" s="1"/>
  <c r="N7" i="126"/>
  <c r="N8" i="126"/>
  <c r="Y8" i="126" s="1"/>
  <c r="N9" i="126"/>
  <c r="Y9" i="126" s="1"/>
  <c r="N10" i="126"/>
  <c r="Y10" i="126" s="1"/>
  <c r="N11" i="126"/>
  <c r="Y11" i="126" s="1"/>
  <c r="N12" i="126"/>
  <c r="Y12" i="126" s="1"/>
  <c r="N13" i="126"/>
  <c r="Y13" i="126" s="1"/>
  <c r="N14" i="126"/>
  <c r="N15" i="126"/>
  <c r="Y15" i="126" s="1"/>
  <c r="N16" i="126"/>
  <c r="Y16" i="126" s="1"/>
  <c r="K2" i="126"/>
  <c r="K17" i="126" s="1"/>
  <c r="M2" i="126"/>
  <c r="M17" i="126" s="1"/>
  <c r="D3" i="126"/>
  <c r="H3" i="126" s="1"/>
  <c r="C3" i="126"/>
  <c r="C4" i="126"/>
  <c r="C5" i="126"/>
  <c r="C6" i="126"/>
  <c r="C7" i="126"/>
  <c r="C8" i="126"/>
  <c r="C9" i="126"/>
  <c r="C10" i="126"/>
  <c r="C11" i="126"/>
  <c r="C12" i="126"/>
  <c r="C13" i="126"/>
  <c r="C14" i="126"/>
  <c r="C15" i="126"/>
  <c r="C16" i="126"/>
  <c r="C2" i="126"/>
  <c r="E5" i="129"/>
  <c r="D4" i="126" s="1"/>
  <c r="H4" i="126" s="1"/>
  <c r="E6" i="129"/>
  <c r="D5" i="126" s="1"/>
  <c r="E7" i="129"/>
  <c r="D6" i="126" s="1"/>
  <c r="H6" i="126" s="1"/>
  <c r="E8" i="129"/>
  <c r="D7" i="126" s="1"/>
  <c r="H7" i="126" s="1"/>
  <c r="E9" i="129"/>
  <c r="D8" i="126" s="1"/>
  <c r="H8" i="126" s="1"/>
  <c r="E10" i="129"/>
  <c r="D9" i="126" s="1"/>
  <c r="H9" i="126" s="1"/>
  <c r="E11" i="129"/>
  <c r="D10" i="126" s="1"/>
  <c r="H10" i="126" s="1"/>
  <c r="E12" i="129"/>
  <c r="D11" i="126" s="1"/>
  <c r="E13" i="129"/>
  <c r="D12" i="126" s="1"/>
  <c r="H12" i="126" s="1"/>
  <c r="E14" i="129"/>
  <c r="D13" i="126" s="1"/>
  <c r="H13" i="126" s="1"/>
  <c r="E15" i="129"/>
  <c r="D14" i="126" s="1"/>
  <c r="H14" i="126" s="1"/>
  <c r="E16" i="129"/>
  <c r="D15" i="126" s="1"/>
  <c r="H15" i="126" s="1"/>
  <c r="E17" i="129"/>
  <c r="D16" i="126" s="1"/>
  <c r="H16" i="126" s="1"/>
  <c r="E18" i="129"/>
  <c r="E19" i="129"/>
  <c r="E20" i="129"/>
  <c r="E21" i="129"/>
  <c r="E22" i="129"/>
  <c r="E23" i="129"/>
  <c r="E24" i="129"/>
  <c r="E25" i="129"/>
  <c r="E26" i="129"/>
  <c r="E27" i="129"/>
  <c r="E28" i="129"/>
  <c r="E29" i="129"/>
  <c r="E30" i="129"/>
  <c r="E31" i="129"/>
  <c r="E32" i="129"/>
  <c r="E33" i="129"/>
  <c r="E34" i="129"/>
  <c r="E35" i="129"/>
  <c r="E36" i="129"/>
  <c r="E37" i="129"/>
  <c r="E38" i="129"/>
  <c r="E39" i="129"/>
  <c r="E40" i="129"/>
  <c r="E41" i="129"/>
  <c r="E42" i="129"/>
  <c r="E43" i="129"/>
  <c r="E44" i="129"/>
  <c r="E45" i="129"/>
  <c r="E46" i="129"/>
  <c r="E47" i="129"/>
  <c r="E48" i="129"/>
  <c r="E49" i="129"/>
  <c r="E50" i="129"/>
  <c r="E4" i="129"/>
  <c r="E3" i="129"/>
  <c r="D2" i="126" s="1"/>
  <c r="D17" i="126" s="1"/>
  <c r="L5" i="129"/>
  <c r="L6" i="129"/>
  <c r="L7" i="129"/>
  <c r="L8" i="129"/>
  <c r="L4" i="129"/>
  <c r="I33" i="129"/>
  <c r="I32" i="129"/>
  <c r="I31" i="129"/>
  <c r="I30" i="129"/>
  <c r="I29" i="129"/>
  <c r="I28" i="129"/>
  <c r="I27" i="129"/>
  <c r="I26" i="129"/>
  <c r="I25" i="129"/>
  <c r="I24" i="129"/>
  <c r="I23" i="129"/>
  <c r="I22" i="129"/>
  <c r="I21" i="129"/>
  <c r="I20" i="129"/>
  <c r="I19" i="129"/>
  <c r="I18" i="129"/>
  <c r="I17" i="129"/>
  <c r="I16" i="129"/>
  <c r="I15" i="129"/>
  <c r="I14" i="129"/>
  <c r="I13" i="129"/>
  <c r="I12" i="129"/>
  <c r="I11" i="129"/>
  <c r="I10" i="129"/>
  <c r="I9" i="129"/>
  <c r="I8" i="129"/>
  <c r="I7" i="129"/>
  <c r="I6" i="129"/>
  <c r="I5" i="129"/>
  <c r="I4" i="129"/>
  <c r="I3" i="129"/>
  <c r="E2" i="126" l="1"/>
  <c r="E3" i="126"/>
  <c r="E5" i="126"/>
  <c r="E7" i="126"/>
  <c r="E10" i="126"/>
  <c r="E4" i="126"/>
  <c r="E8" i="126"/>
  <c r="E9" i="126"/>
  <c r="E11" i="126"/>
  <c r="E12" i="126"/>
  <c r="E13" i="126"/>
  <c r="E14" i="126"/>
  <c r="E15" i="126"/>
  <c r="E16" i="126"/>
  <c r="E6" i="126"/>
  <c r="N2" i="126"/>
  <c r="N17" i="126" s="1"/>
  <c r="E17" i="126" l="1"/>
  <c r="F2" i="126"/>
  <c r="P2" i="126" l="1"/>
  <c r="Y2" i="126"/>
  <c r="Y17" i="126" s="1"/>
  <c r="F7" i="126" l="1"/>
  <c r="I7" i="126" l="1"/>
  <c r="Q7" i="126"/>
  <c r="P7" i="126"/>
  <c r="F9" i="126"/>
  <c r="F6" i="126"/>
  <c r="F12" i="126"/>
  <c r="F16" i="126"/>
  <c r="F3" i="126"/>
  <c r="F14" i="126"/>
  <c r="F8" i="126"/>
  <c r="F13" i="126"/>
  <c r="F5" i="126"/>
  <c r="F15" i="126"/>
  <c r="F11" i="126"/>
  <c r="F4" i="126"/>
  <c r="F10" i="126"/>
  <c r="AP14" i="126" l="1"/>
  <c r="I14" i="126"/>
  <c r="AP12" i="126"/>
  <c r="I12" i="126"/>
  <c r="AP8" i="126"/>
  <c r="I8" i="126"/>
  <c r="I9" i="126"/>
  <c r="AP9" i="126"/>
  <c r="I3" i="126"/>
  <c r="F17" i="126"/>
  <c r="I10" i="126"/>
  <c r="AP10" i="126"/>
  <c r="AP15" i="126"/>
  <c r="I15" i="126"/>
  <c r="I16" i="126"/>
  <c r="AP16" i="126"/>
  <c r="I6" i="126"/>
  <c r="I4" i="126"/>
  <c r="I5" i="126"/>
  <c r="AP11" i="126"/>
  <c r="I11" i="126"/>
  <c r="I13" i="126"/>
  <c r="AP13" i="126"/>
  <c r="AH7" i="126"/>
  <c r="Z7" i="126"/>
  <c r="W7" i="126"/>
  <c r="X7" i="126" s="1"/>
  <c r="P10" i="126"/>
  <c r="Q10" i="126"/>
  <c r="Q11" i="126"/>
  <c r="P11" i="126"/>
  <c r="Q13" i="126"/>
  <c r="P13" i="126"/>
  <c r="P14" i="126"/>
  <c r="Q14" i="126"/>
  <c r="P6" i="126"/>
  <c r="Q6" i="126"/>
  <c r="Q4" i="126"/>
  <c r="P4" i="126"/>
  <c r="P15" i="126"/>
  <c r="Q15" i="126"/>
  <c r="P5" i="126"/>
  <c r="Q5" i="126"/>
  <c r="Q8" i="126"/>
  <c r="P8" i="126"/>
  <c r="Q3" i="126"/>
  <c r="P3" i="126"/>
  <c r="P16" i="126"/>
  <c r="Q16" i="126"/>
  <c r="Q12" i="126"/>
  <c r="P12" i="126"/>
  <c r="P9" i="126"/>
  <c r="Q9" i="126"/>
  <c r="Z4" i="126" l="1"/>
  <c r="W4" i="126"/>
  <c r="X4" i="126" s="1"/>
  <c r="AH4" i="126"/>
  <c r="W9" i="126"/>
  <c r="X9" i="126" s="1"/>
  <c r="Z9" i="126"/>
  <c r="AH9" i="126"/>
  <c r="W6" i="126"/>
  <c r="X6" i="126" s="1"/>
  <c r="AH6" i="126"/>
  <c r="Z6" i="126"/>
  <c r="AH8" i="126"/>
  <c r="Z8" i="126"/>
  <c r="W8" i="126"/>
  <c r="X8" i="126" s="1"/>
  <c r="AI7" i="126"/>
  <c r="AK7" i="126"/>
  <c r="AJ7" i="126"/>
  <c r="W16" i="126"/>
  <c r="X16" i="126" s="1"/>
  <c r="Z16" i="126"/>
  <c r="AH16" i="126"/>
  <c r="Z12" i="126"/>
  <c r="W12" i="126"/>
  <c r="X12" i="126" s="1"/>
  <c r="AH12" i="126"/>
  <c r="AH10" i="126"/>
  <c r="W10" i="126"/>
  <c r="X10" i="126" s="1"/>
  <c r="Z10" i="126"/>
  <c r="P17" i="126"/>
  <c r="W15" i="126"/>
  <c r="X15" i="126" s="1"/>
  <c r="AH15" i="126"/>
  <c r="Z15" i="126"/>
  <c r="Z3" i="126"/>
  <c r="W3" i="126"/>
  <c r="X3" i="126" s="1"/>
  <c r="AH3" i="126"/>
  <c r="AH13" i="126"/>
  <c r="W13" i="126"/>
  <c r="X13" i="126" s="1"/>
  <c r="Z13" i="126"/>
  <c r="Z14" i="126"/>
  <c r="W14" i="126"/>
  <c r="X14" i="126" s="1"/>
  <c r="AH14" i="126"/>
  <c r="W5" i="126"/>
  <c r="X5" i="126" s="1"/>
  <c r="AH5" i="126"/>
  <c r="Z5" i="126"/>
  <c r="AH11" i="126"/>
  <c r="W11" i="126"/>
  <c r="X11" i="126" s="1"/>
  <c r="Z11" i="126"/>
  <c r="Q2" i="126"/>
  <c r="AJ12" i="126" l="1"/>
  <c r="AI12" i="126"/>
  <c r="AK12" i="126"/>
  <c r="AI8" i="126"/>
  <c r="AJ8" i="126"/>
  <c r="AK8" i="126"/>
  <c r="AI9" i="126"/>
  <c r="AJ9" i="126"/>
  <c r="AK9" i="126"/>
  <c r="AI3" i="126"/>
  <c r="AK3" i="126"/>
  <c r="AJ3" i="126"/>
  <c r="AL7" i="126"/>
  <c r="AP7" i="126"/>
  <c r="AA7" i="126"/>
  <c r="AI5" i="126"/>
  <c r="AJ5" i="126"/>
  <c r="AK5" i="126"/>
  <c r="AI16" i="126"/>
  <c r="AJ16" i="126"/>
  <c r="AK16" i="126"/>
  <c r="AJ14" i="126"/>
  <c r="AK14" i="126"/>
  <c r="AI14" i="126"/>
  <c r="AI13" i="126"/>
  <c r="AJ13" i="126"/>
  <c r="AK13" i="126"/>
  <c r="AI11" i="126"/>
  <c r="AJ11" i="126"/>
  <c r="AK11" i="126"/>
  <c r="AK6" i="126"/>
  <c r="AI6" i="126"/>
  <c r="AJ6" i="126"/>
  <c r="AL6" i="126" s="1"/>
  <c r="AI15" i="126"/>
  <c r="AJ15" i="126"/>
  <c r="AK15" i="126"/>
  <c r="AJ10" i="126"/>
  <c r="AK10" i="126"/>
  <c r="AI10" i="126"/>
  <c r="AJ4" i="126"/>
  <c r="AK4" i="126"/>
  <c r="AI4" i="126"/>
  <c r="Q17" i="126"/>
  <c r="I2" i="126"/>
  <c r="I17" i="126" s="1"/>
  <c r="H2" i="126"/>
  <c r="H17" i="126" s="1"/>
  <c r="AA4" i="126" l="1"/>
  <c r="AL4" i="126"/>
  <c r="AP4" i="126"/>
  <c r="AL3" i="126"/>
  <c r="AP3" i="126"/>
  <c r="AA3" i="126"/>
  <c r="AL16" i="126"/>
  <c r="AA16" i="126"/>
  <c r="AA10" i="126"/>
  <c r="AL10" i="126"/>
  <c r="AL8" i="126"/>
  <c r="AA8" i="126"/>
  <c r="AA6" i="126"/>
  <c r="AP6" i="126"/>
  <c r="AA11" i="126"/>
  <c r="AL11" i="126"/>
  <c r="AL9" i="126"/>
  <c r="AA9" i="126"/>
  <c r="AB7" i="126"/>
  <c r="AC7" i="126" s="1"/>
  <c r="AA13" i="126"/>
  <c r="AL13" i="126"/>
  <c r="AL12" i="126"/>
  <c r="AA12" i="126"/>
  <c r="AL5" i="126"/>
  <c r="AA5" i="126"/>
  <c r="AP5" i="126"/>
  <c r="AL14" i="126"/>
  <c r="AA14" i="126"/>
  <c r="AL15" i="126"/>
  <c r="AA15" i="126"/>
  <c r="Z2" i="126"/>
  <c r="Z17" i="126" s="1"/>
  <c r="AH2" i="126"/>
  <c r="AH17" i="126" s="1"/>
  <c r="W2" i="126"/>
  <c r="W17" i="126" s="1"/>
  <c r="AE7" i="126" l="1"/>
  <c r="AG7" i="126" s="1"/>
  <c r="AN7" i="126" s="1"/>
  <c r="AO7" i="126" s="1"/>
  <c r="AB13" i="126"/>
  <c r="AC13" i="126"/>
  <c r="AE13" i="126" s="1"/>
  <c r="AG13" i="126" s="1"/>
  <c r="AN13" i="126" s="1"/>
  <c r="AO13" i="126" s="1"/>
  <c r="AB16" i="126"/>
  <c r="AC16" i="126"/>
  <c r="AE16" i="126" s="1"/>
  <c r="AG16" i="126" s="1"/>
  <c r="AB3" i="126"/>
  <c r="AC3" i="126"/>
  <c r="AB11" i="126"/>
  <c r="AC11" i="126"/>
  <c r="AE11" i="126" s="1"/>
  <c r="AG11" i="126" s="1"/>
  <c r="AN11" i="126" s="1"/>
  <c r="AO11" i="126" s="1"/>
  <c r="AB15" i="126"/>
  <c r="AC15" i="126"/>
  <c r="AE15" i="126" s="1"/>
  <c r="AG15" i="126" s="1"/>
  <c r="AN15" i="126" s="1"/>
  <c r="AO15" i="126" s="1"/>
  <c r="AD7" i="126"/>
  <c r="AF7" i="126" s="1"/>
  <c r="AB14" i="126"/>
  <c r="AC14" i="126"/>
  <c r="AB5" i="126"/>
  <c r="AC5" i="126"/>
  <c r="AB6" i="126"/>
  <c r="AC6" i="126" s="1"/>
  <c r="AB4" i="126"/>
  <c r="AC4" i="126"/>
  <c r="AB10" i="126"/>
  <c r="AC10" i="126"/>
  <c r="AB9" i="126"/>
  <c r="AC9" i="126"/>
  <c r="AB12" i="126"/>
  <c r="AC12" i="126" s="1"/>
  <c r="AE12" i="126" s="1"/>
  <c r="AG12" i="126" s="1"/>
  <c r="AB8" i="126"/>
  <c r="AC8" i="126"/>
  <c r="AJ2" i="126"/>
  <c r="AJ17" i="126" s="1"/>
  <c r="X2" i="126"/>
  <c r="X17" i="126" s="1"/>
  <c r="AI2" i="126"/>
  <c r="AD6" i="126" l="1"/>
  <c r="AF6" i="126" s="1"/>
  <c r="AE6" i="126"/>
  <c r="AG6" i="126"/>
  <c r="AN6" i="126" s="1"/>
  <c r="AO6" i="126" s="1"/>
  <c r="AD10" i="126"/>
  <c r="AF10" i="126" s="1"/>
  <c r="AE8" i="126"/>
  <c r="AG8" i="126"/>
  <c r="AN8" i="126" s="1"/>
  <c r="AO8" i="126" s="1"/>
  <c r="AD8" i="126"/>
  <c r="AF8" i="126" s="1"/>
  <c r="AD13" i="126"/>
  <c r="AF13" i="126" s="1"/>
  <c r="AE10" i="126"/>
  <c r="AG10" i="126" s="1"/>
  <c r="AN10" i="126" s="1"/>
  <c r="AO10" i="126" s="1"/>
  <c r="AD15" i="126"/>
  <c r="AF15" i="126" s="1"/>
  <c r="AD4" i="126"/>
  <c r="AF4" i="126" s="1"/>
  <c r="AE4" i="126"/>
  <c r="AG4" i="126" s="1"/>
  <c r="AN4" i="126"/>
  <c r="AO4" i="126" s="1"/>
  <c r="AD11" i="126"/>
  <c r="AF11" i="126"/>
  <c r="AE3" i="126"/>
  <c r="AG3" i="126"/>
  <c r="AN3" i="126" s="1"/>
  <c r="AO3" i="126" s="1"/>
  <c r="AN5" i="126"/>
  <c r="AO5" i="126" s="1"/>
  <c r="AD12" i="126"/>
  <c r="AF12" i="126" s="1"/>
  <c r="AN12" i="126"/>
  <c r="AO12" i="126" s="1"/>
  <c r="AA2" i="126"/>
  <c r="AA17" i="126" s="1"/>
  <c r="AI17" i="126"/>
  <c r="AD3" i="126"/>
  <c r="AF3" i="126" s="1"/>
  <c r="AD5" i="126"/>
  <c r="AF5" i="126" s="1"/>
  <c r="AE5" i="126"/>
  <c r="AG5" i="126"/>
  <c r="AD16" i="126"/>
  <c r="AF16" i="126"/>
  <c r="AN16" i="126"/>
  <c r="AO16" i="126" s="1"/>
  <c r="AE14" i="126"/>
  <c r="AG14" i="126"/>
  <c r="AN14" i="126" s="1"/>
  <c r="AO14" i="126" s="1"/>
  <c r="AD14" i="126"/>
  <c r="AF14" i="126" s="1"/>
  <c r="AD9" i="126"/>
  <c r="AF9" i="126" s="1"/>
  <c r="AE9" i="126"/>
  <c r="AG9" i="126" s="1"/>
  <c r="AN9" i="126" s="1"/>
  <c r="AO9" i="126" s="1"/>
  <c r="AB2" i="126"/>
  <c r="AB17" i="126" s="1"/>
  <c r="AP2" i="126"/>
  <c r="AP17" i="126" s="1"/>
  <c r="AK2" i="126"/>
  <c r="AK17" i="126" s="1"/>
  <c r="AC2" i="126" l="1"/>
  <c r="AC17" i="126" s="1"/>
  <c r="AD2" i="126"/>
  <c r="AD17" i="126" s="1"/>
  <c r="AE2" i="126"/>
  <c r="AE17" i="126" s="1"/>
  <c r="AL2" i="126"/>
  <c r="AL17" i="126" s="1"/>
  <c r="AG2" i="126" l="1"/>
  <c r="AG17" i="126" s="1"/>
  <c r="AF2" i="126"/>
  <c r="AM17" i="126" l="1"/>
  <c r="AF17" i="126"/>
  <c r="AN2" i="126" l="1"/>
  <c r="AO2" i="126" l="1"/>
  <c r="AO17" i="126" s="1"/>
  <c r="AN17" i="1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 Dorsan</author>
  </authors>
  <commentList>
    <comment ref="B1" authorId="0" shapeId="0" xr:uid="{023002FF-A5B0-4E33-808C-B70779DD7DBD}">
      <text>
        <r>
          <rPr>
            <b/>
            <sz val="9"/>
            <color indexed="81"/>
            <rFont val="Tahoma"/>
            <family val="2"/>
          </rPr>
          <t>Th Dorsan:</t>
        </r>
        <r>
          <rPr>
            <sz val="9"/>
            <color indexed="81"/>
            <rFont val="Tahoma"/>
            <family val="2"/>
          </rPr>
          <t xml:space="preserve">
در زمان محاسبه عیدی و سنوات کل کارکرد کارمند تا روز محاسبه تکمیل شود </t>
        </r>
      </text>
    </comment>
  </commentList>
</comments>
</file>

<file path=xl/sharedStrings.xml><?xml version="1.0" encoding="utf-8"?>
<sst xmlns="http://schemas.openxmlformats.org/spreadsheetml/2006/main" count="67" uniqueCount="65">
  <si>
    <t>ردیف</t>
  </si>
  <si>
    <t>روزهای کارکرد</t>
  </si>
  <si>
    <t xml:space="preserve">حق اولاد </t>
  </si>
  <si>
    <t xml:space="preserve">ماليات </t>
  </si>
  <si>
    <t>جمع کسورات</t>
  </si>
  <si>
    <t>خالص پرداختی</t>
  </si>
  <si>
    <t xml:space="preserve">بيمه کارگر </t>
  </si>
  <si>
    <t xml:space="preserve">بیمه کارفرما </t>
  </si>
  <si>
    <t xml:space="preserve">بیمه بیکاری </t>
  </si>
  <si>
    <t xml:space="preserve">کل بیمه </t>
  </si>
  <si>
    <t xml:space="preserve">حقوق و دستمزد مستمر جاری </t>
  </si>
  <si>
    <t xml:space="preserve">جمع کل مستمر و غیر مستمر </t>
  </si>
  <si>
    <t>مزایای مشمول بیمه</t>
  </si>
  <si>
    <t xml:space="preserve">حقوق مشمول بیمه </t>
  </si>
  <si>
    <t xml:space="preserve">مساعده </t>
  </si>
  <si>
    <t>حق ماموریت بند 6</t>
  </si>
  <si>
    <t>سنوات</t>
  </si>
  <si>
    <t>عيدي</t>
  </si>
  <si>
    <t xml:space="preserve">پورسانت </t>
  </si>
  <si>
    <t xml:space="preserve">بیمه تکمیلی </t>
  </si>
  <si>
    <t xml:space="preserve">اضافه کار </t>
  </si>
  <si>
    <t xml:space="preserve">نام کارمند </t>
  </si>
  <si>
    <t xml:space="preserve">تعداد فرزند </t>
  </si>
  <si>
    <t xml:space="preserve">حقوق روزانه </t>
  </si>
  <si>
    <t xml:space="preserve">جمع کل </t>
  </si>
  <si>
    <t>کل-بدون عیدی سنوات</t>
  </si>
  <si>
    <t xml:space="preserve">حقوق روزانه با پایه سنوات </t>
  </si>
  <si>
    <t xml:space="preserve">حقوق ماهانه بدون پایه سنوات </t>
  </si>
  <si>
    <t xml:space="preserve">حقوق ماهیانه با پایه سنوات </t>
  </si>
  <si>
    <t xml:space="preserve">نرخ </t>
  </si>
  <si>
    <t>معافیت</t>
  </si>
  <si>
    <t>خواربار</t>
  </si>
  <si>
    <t>مسکن</t>
  </si>
  <si>
    <t xml:space="preserve">روز کارکرد ماه </t>
  </si>
  <si>
    <t xml:space="preserve">از </t>
  </si>
  <si>
    <t xml:space="preserve">آرمین علیزاده </t>
  </si>
  <si>
    <t xml:space="preserve">سال کارکرد </t>
  </si>
  <si>
    <t xml:space="preserve">کد کارمند </t>
  </si>
  <si>
    <t xml:space="preserve">پایه سنوات </t>
  </si>
  <si>
    <t xml:space="preserve">حق تاهل </t>
  </si>
  <si>
    <t xml:space="preserve">ردیف </t>
  </si>
  <si>
    <t xml:space="preserve">سال استخدام </t>
  </si>
  <si>
    <t xml:space="preserve">برای 1404 </t>
  </si>
  <si>
    <t>1404</t>
  </si>
  <si>
    <t xml:space="preserve">جدول پایه سنوات </t>
  </si>
  <si>
    <t>تعداد سال کارکرد تا پایان 1403</t>
  </si>
  <si>
    <t xml:space="preserve">حقوق روزانه 1404 بدون پایه سنوات </t>
  </si>
  <si>
    <t xml:space="preserve">تا </t>
  </si>
  <si>
    <t xml:space="preserve">جدول مالیات حقوق </t>
  </si>
  <si>
    <t xml:space="preserve">حقوق دستمزد سال 1404 </t>
  </si>
  <si>
    <t>حقوق پایه روزانه سال 1403</t>
  </si>
  <si>
    <t xml:space="preserve">مهیا سلطانی </t>
  </si>
  <si>
    <t xml:space="preserve">مجرد 1 - متاهل 2 </t>
  </si>
  <si>
    <t>روز برای عیدی و سنوات</t>
  </si>
  <si>
    <t xml:space="preserve">شرح </t>
  </si>
  <si>
    <t>موارد زرد رنگ فقط تکمیل شود.</t>
  </si>
  <si>
    <t xml:space="preserve">در صورت نیاز به آپدیت های بعدی در لینک زیر قرار داده میشود. میتوانید برای آخرین به روز رسانی روی لینک زیر کلیک کنید. ضمنا کلیه اطلاعات اعم از بیمه، بخشنامه حقوق دستمزد  و .... در همین لینک روزانه به روز رسانی خواهد شد. </t>
  </si>
  <si>
    <t xml:space="preserve"> افرادی که از ورژن قدیمی آفیس استفاده میکنند اگر در محاسبه مالیات خطا دریافت کردید میتوانید فرمول زیر را جایگزین نمایید. </t>
  </si>
  <si>
    <t xml:space="preserve">مجموع حقوق مشمول مالیات پلکانی </t>
  </si>
  <si>
    <t xml:space="preserve">حقوق مشمول مالیات مقطوع ده درصد </t>
  </si>
  <si>
    <t>معافیت پلکانی</t>
  </si>
  <si>
    <t xml:space="preserve">معافیت ده درصدی </t>
  </si>
  <si>
    <t xml:space="preserve">مشمول پلکانی </t>
  </si>
  <si>
    <t xml:space="preserve">مشمول ده درصد </t>
  </si>
  <si>
    <t>کل حقوق مشمول مالیات پس از 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</si>
</sst>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Red]#,##0"/>
    <numFmt numFmtId="166" formatCode="_-* #,##0_-;_-* #,##0\-;_-* &quot;-&quot;??_-;_-@_-"/>
    <numFmt numFmtId="167" formatCode="_ * #,##0_-_ ;_ * #,##0\-_ ;_ * &quot;-&quot;??_-_ ;_ @_ "/>
  </numFmts>
  <fonts count="16" x14ac:knownFonts="1">
    <font>
      <sz val="11"/>
      <color theme="1"/>
      <name val="Calibri"/>
      <family val="2"/>
      <charset val="178"/>
      <scheme val="minor"/>
    </font>
    <font>
      <sz val="11"/>
      <color theme="1"/>
      <name val="Calibri"/>
      <family val="2"/>
      <charset val="178"/>
      <scheme val="minor"/>
    </font>
    <font>
      <b/>
      <sz val="13"/>
      <color theme="1"/>
      <name val="B Nazanin"/>
      <charset val="178"/>
    </font>
    <font>
      <sz val="13"/>
      <color theme="1"/>
      <name val="B Nazanin"/>
      <charset val="178"/>
    </font>
    <font>
      <b/>
      <sz val="11"/>
      <color theme="1"/>
      <name val="B Nazanin"/>
      <charset val="178"/>
    </font>
    <font>
      <b/>
      <sz val="9"/>
      <color indexed="81"/>
      <name val="Tahoma"/>
      <family val="2"/>
    </font>
    <font>
      <sz val="11"/>
      <color theme="1"/>
      <name val="B Titr"/>
      <charset val="178"/>
    </font>
    <font>
      <b/>
      <sz val="11"/>
      <color theme="1"/>
      <name val="B Titr"/>
      <charset val="178"/>
    </font>
    <font>
      <u/>
      <sz val="11"/>
      <color theme="10"/>
      <name val="Calibri"/>
      <family val="2"/>
      <charset val="178"/>
      <scheme val="minor"/>
    </font>
    <font>
      <b/>
      <sz val="9"/>
      <color theme="1"/>
      <name val="B Titr"/>
      <charset val="178"/>
    </font>
    <font>
      <sz val="9"/>
      <color theme="1"/>
      <name val="B Titr"/>
      <charset val="178"/>
    </font>
    <font>
      <sz val="12"/>
      <color theme="1"/>
      <name val="B Nazanin"/>
      <charset val="178"/>
    </font>
    <font>
      <b/>
      <sz val="16"/>
      <color theme="1"/>
      <name val="Calibri"/>
      <family val="2"/>
      <scheme val="minor"/>
    </font>
    <font>
      <sz val="9"/>
      <color indexed="81"/>
      <name val="Tahoma"/>
      <family val="2"/>
    </font>
    <font>
      <b/>
      <sz val="16"/>
      <color theme="1"/>
      <name val="B Titr"/>
      <charset val="178"/>
    </font>
    <font>
      <b/>
      <u/>
      <sz val="11"/>
      <color theme="10"/>
      <name val="Calibri"/>
      <family val="2"/>
      <charset val="178"/>
      <scheme val="minor"/>
    </font>
  </fonts>
  <fills count="4">
    <fill>
      <patternFill patternType="none"/>
    </fill>
    <fill>
      <patternFill patternType="gray125"/>
    </fill>
    <fill>
      <patternFill patternType="solid">
        <fgColor rgb="FFFFFF00"/>
        <bgColor indexed="64"/>
      </patternFill>
    </fill>
    <fill>
      <patternFill patternType="solid">
        <fgColor rgb="FF66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67">
    <xf numFmtId="0" fontId="0" fillId="0" borderId="0" xfId="0"/>
    <xf numFmtId="0" fontId="3" fillId="0" borderId="0" xfId="0" applyFont="1" applyAlignment="1">
      <alignment horizontal="center"/>
    </xf>
    <xf numFmtId="0" fontId="2" fillId="0" borderId="1" xfId="0" applyFont="1" applyBorder="1" applyAlignment="1">
      <alignment horizontal="center" vertical="center" wrapText="1"/>
    </xf>
    <xf numFmtId="165" fontId="2" fillId="0" borderId="1" xfId="1"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wrapText="1"/>
    </xf>
    <xf numFmtId="166" fontId="3" fillId="0" borderId="0" xfId="1" applyNumberFormat="1" applyFont="1" applyFill="1" applyAlignment="1">
      <alignment horizont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166" fontId="0" fillId="0" borderId="0" xfId="1" applyNumberFormat="1" applyFont="1"/>
    <xf numFmtId="166" fontId="6" fillId="0" borderId="1" xfId="1" applyNumberFormat="1" applyFont="1" applyBorder="1" applyAlignment="1">
      <alignment horizontal="center" vertical="center" wrapText="1"/>
    </xf>
    <xf numFmtId="0" fontId="3" fillId="0" borderId="1" xfId="0" applyFont="1" applyBorder="1"/>
    <xf numFmtId="166" fontId="3" fillId="0" borderId="1" xfId="1" applyNumberFormat="1" applyFont="1" applyBorder="1"/>
    <xf numFmtId="0" fontId="3" fillId="0" borderId="0" xfId="0" applyFont="1"/>
    <xf numFmtId="166" fontId="6" fillId="0" borderId="0" xfId="1" applyNumberFormat="1" applyFont="1" applyBorder="1" applyAlignment="1">
      <alignment horizontal="center" vertical="center" wrapText="1"/>
    </xf>
    <xf numFmtId="166" fontId="3" fillId="0" borderId="0" xfId="1" applyNumberFormat="1" applyFont="1" applyBorder="1"/>
    <xf numFmtId="166" fontId="3" fillId="0" borderId="0" xfId="1" applyNumberFormat="1" applyFont="1" applyAlignment="1">
      <alignment horizontal="center"/>
    </xf>
    <xf numFmtId="166" fontId="2" fillId="0" borderId="1" xfId="1" applyNumberFormat="1" applyFont="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1" fillId="2" borderId="1" xfId="1" applyNumberFormat="1"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0" fontId="3" fillId="2" borderId="1" xfId="0" applyFont="1" applyFill="1" applyBorder="1"/>
    <xf numFmtId="166" fontId="3" fillId="2" borderId="1" xfId="1" applyNumberFormat="1" applyFont="1" applyFill="1" applyBorder="1"/>
    <xf numFmtId="167" fontId="7" fillId="0" borderId="1" xfId="1" applyNumberFormat="1" applyFont="1" applyBorder="1" applyAlignment="1">
      <alignment horizontal="center" vertical="center"/>
    </xf>
    <xf numFmtId="0" fontId="7" fillId="0" borderId="0" xfId="0" applyFont="1" applyAlignment="1">
      <alignment horizontal="center" vertical="center"/>
    </xf>
    <xf numFmtId="167" fontId="7" fillId="0" borderId="0" xfId="1" applyNumberFormat="1" applyFont="1" applyBorder="1" applyAlignment="1">
      <alignment horizontal="center" vertical="center"/>
    </xf>
    <xf numFmtId="166" fontId="3" fillId="0" borderId="0" xfId="1" applyNumberFormat="1" applyFont="1"/>
    <xf numFmtId="9" fontId="7" fillId="0" borderId="1" xfId="2" applyFont="1" applyBorder="1" applyAlignment="1">
      <alignment horizontal="center" vertical="center"/>
    </xf>
    <xf numFmtId="9" fontId="3" fillId="0" borderId="0" xfId="2" applyFont="1"/>
    <xf numFmtId="9" fontId="0" fillId="0" borderId="0" xfId="2" applyFont="1"/>
    <xf numFmtId="166" fontId="7" fillId="0" borderId="1" xfId="1" applyNumberFormat="1" applyFont="1" applyBorder="1" applyAlignment="1">
      <alignment horizontal="center" vertical="center"/>
    </xf>
    <xf numFmtId="0" fontId="0" fillId="0" borderId="1" xfId="0" applyBorder="1"/>
    <xf numFmtId="166" fontId="0" fillId="0" borderId="1" xfId="1" applyNumberFormat="1" applyFont="1" applyBorder="1"/>
    <xf numFmtId="0" fontId="12" fillId="0" borderId="0" xfId="0" applyFont="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4" fillId="0" borderId="1" xfId="0" applyFont="1" applyBorder="1"/>
    <xf numFmtId="0" fontId="4" fillId="0" borderId="0" xfId="0" applyFont="1"/>
    <xf numFmtId="0" fontId="4" fillId="0" borderId="1" xfId="0" applyFont="1" applyBorder="1" applyAlignment="1">
      <alignment vertical="center"/>
    </xf>
    <xf numFmtId="0" fontId="15" fillId="0" borderId="1" xfId="4" applyFont="1" applyBorder="1" applyAlignment="1">
      <alignment vertical="center" wrapText="1"/>
    </xf>
    <xf numFmtId="0" fontId="0" fillId="0" borderId="5" xfId="0" applyBorder="1" applyAlignment="1">
      <alignment vertical="center" wrapText="1"/>
    </xf>
    <xf numFmtId="0" fontId="0" fillId="2" borderId="6" xfId="0" applyFill="1" applyBorder="1"/>
    <xf numFmtId="3" fontId="2" fillId="3" borderId="1" xfId="1" applyNumberFormat="1" applyFont="1" applyFill="1" applyBorder="1" applyAlignment="1">
      <alignment horizontal="center" vertical="center" wrapText="1"/>
    </xf>
    <xf numFmtId="3" fontId="11" fillId="0" borderId="1" xfId="1" applyNumberFormat="1" applyFont="1" applyFill="1" applyBorder="1" applyAlignment="1">
      <alignment horizontal="center" vertical="center" wrapText="1"/>
    </xf>
    <xf numFmtId="165" fontId="3" fillId="0" borderId="0" xfId="1" applyNumberFormat="1" applyFont="1" applyFill="1" applyAlignment="1">
      <alignment horizontal="center"/>
    </xf>
    <xf numFmtId="3" fontId="3" fillId="0" borderId="0" xfId="1" applyNumberFormat="1" applyFont="1" applyFill="1" applyAlignment="1">
      <alignment horizontal="center"/>
    </xf>
    <xf numFmtId="0" fontId="11" fillId="0" borderId="1" xfId="0" applyFont="1" applyBorder="1" applyAlignment="1">
      <alignment horizontal="center" wrapText="1"/>
    </xf>
    <xf numFmtId="3"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wrapText="1"/>
    </xf>
    <xf numFmtId="165" fontId="11" fillId="0" borderId="2" xfId="1" applyNumberFormat="1" applyFont="1" applyFill="1" applyBorder="1" applyAlignment="1">
      <alignment horizontal="center" vertical="center" wrapText="1"/>
    </xf>
    <xf numFmtId="165" fontId="10" fillId="0" borderId="1" xfId="0" applyNumberFormat="1" applyFont="1" applyBorder="1" applyAlignment="1">
      <alignment horizontal="center" wrapText="1"/>
    </xf>
    <xf numFmtId="0" fontId="9" fillId="0" borderId="0" xfId="0" applyFont="1" applyAlignment="1">
      <alignment horizontal="center" wrapText="1"/>
    </xf>
    <xf numFmtId="2" fontId="3" fillId="0" borderId="0" xfId="0" applyNumberFormat="1" applyFont="1" applyAlignment="1">
      <alignment horizontal="center"/>
    </xf>
    <xf numFmtId="166" fontId="3" fillId="0" borderId="0" xfId="0" applyNumberFormat="1" applyFo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5">
    <cellStyle name="Comma" xfId="1" builtinId="3"/>
    <cellStyle name="Comma 2" xfId="3" xr:uid="{00000000-0005-0000-0000-000001000000}"/>
    <cellStyle name="Hyperlink" xfId="4" builtinId="8"/>
    <cellStyle name="Normal" xfId="0" builtinId="0"/>
    <cellStyle name="Percent" xfId="2" builtinId="5"/>
  </cellStyles>
  <dxfs count="0"/>
  <tableStyles count="0" defaultTableStyle="TableStyleMedium2" defaultPivotStyle="PivotStyleLight16"/>
  <colors>
    <mruColors>
      <color rgb="FF99CC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rmin alizadeh" id="{3F9411A6-EF48-4529-9E08-D60E9E5C74AF}" userId="88b640eb30e8d0b9"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hdorsan.com/c/244/%D8%A7%D9%81%D8%B2%D8%A7%DB%8C%D8%B4-%D8%AD%D9%82%D9%88%D9%82-1404"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4378E-3316-4A2F-AC3C-B41618B01136}">
  <dimension ref="A1:B5"/>
  <sheetViews>
    <sheetView rightToLeft="1" workbookViewId="0">
      <selection activeCell="B5" sqref="B5"/>
    </sheetView>
  </sheetViews>
  <sheetFormatPr defaultRowHeight="15" x14ac:dyDescent="0.25"/>
  <cols>
    <col min="1" max="1" width="5.28515625" bestFit="1" customWidth="1"/>
    <col min="2" max="2" width="40.140625" bestFit="1" customWidth="1"/>
  </cols>
  <sheetData>
    <row r="1" spans="1:2" s="37" customFormat="1" ht="22.5" x14ac:dyDescent="0.6">
      <c r="A1" s="36" t="s">
        <v>40</v>
      </c>
      <c r="B1" s="36" t="s">
        <v>54</v>
      </c>
    </row>
    <row r="2" spans="1:2" s="39" customFormat="1" ht="19.5" x14ac:dyDescent="0.5">
      <c r="A2" s="38">
        <v>1</v>
      </c>
      <c r="B2" s="38" t="s">
        <v>55</v>
      </c>
    </row>
    <row r="3" spans="1:2" s="39" customFormat="1" ht="128.25" customHeight="1" x14ac:dyDescent="0.5">
      <c r="A3" s="40">
        <v>2</v>
      </c>
      <c r="B3" s="41" t="s">
        <v>56</v>
      </c>
    </row>
    <row r="4" spans="1:2" ht="70.5" customHeight="1" x14ac:dyDescent="0.25">
      <c r="A4" s="57">
        <v>3</v>
      </c>
      <c r="B4" s="42" t="s">
        <v>57</v>
      </c>
    </row>
    <row r="5" spans="1:2" ht="19.5" customHeight="1" x14ac:dyDescent="0.25">
      <c r="A5" s="58"/>
      <c r="B5" s="43">
        <f>IF(AB2&lt;=240000000, AB2*0,
 IF(AB2&lt;=300000000, (AB2-240000000)*10%,
 IF(AB2&lt;=380000000, (AB2-300000000)*15% + (300000000-240000000)*10%,
 IF(AB2&lt;=500000000, (AB2-380000000)*20% + (380000000-300000000)*15% + (300000000-240000000)*10%,
 IF(AB2&lt;=666666666, (AB2-500000000)*25% + (500000000-380000000)*20% + (380000000-300000000)*15% + (300000000-240000000)*10%,
 (AB2-666666666)*30% + (666666666-500000000)*25% + (500000000-380000000)*20% + (380000000-300000000)*15% + (300000000-240000000)*10%
)))))</f>
        <v>0</v>
      </c>
    </row>
  </sheetData>
  <mergeCells count="1">
    <mergeCell ref="A4:A5"/>
  </mergeCells>
  <hyperlinks>
    <hyperlink ref="B3" r:id="rId1" display="در صورت نیاز به آپدیت های بعدی در لینک زیر قرار داده میشود. میتوانید برای به کنترل آخرین به روز رسانی روی لینک زیر کلیک کنید " xr:uid="{3A74F009-C118-4752-9397-92E60C58CF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8D1B-8F37-4D47-952E-946BDF628450}">
  <dimension ref="A1:R50"/>
  <sheetViews>
    <sheetView rightToLeft="1" topLeftCell="A10" workbookViewId="0">
      <selection activeCell="P3" sqref="P3:R10"/>
    </sheetView>
  </sheetViews>
  <sheetFormatPr defaultRowHeight="22.5" x14ac:dyDescent="0.25"/>
  <cols>
    <col min="2" max="2" width="9.85546875" bestFit="1" customWidth="1"/>
    <col min="3" max="3" width="19.140625" style="11" bestFit="1" customWidth="1"/>
    <col min="4" max="4" width="15.42578125" style="11" bestFit="1" customWidth="1"/>
    <col min="5" max="6" width="16" style="11" customWidth="1"/>
    <col min="7" max="7" width="7.140625" style="11" customWidth="1"/>
    <col min="8" max="9" width="16.7109375" style="26" customWidth="1"/>
    <col min="10" max="10" width="14.5703125" style="27" bestFit="1" customWidth="1"/>
    <col min="11" max="11" width="6.42578125" style="11" customWidth="1"/>
    <col min="12" max="13" width="17.7109375" style="11" bestFit="1" customWidth="1"/>
    <col min="14" max="14" width="9" style="31"/>
    <col min="16" max="16" width="14" bestFit="1" customWidth="1"/>
    <col min="17" max="17" width="15.5703125" bestFit="1" customWidth="1"/>
    <col min="18" max="18" width="12.7109375" bestFit="1" customWidth="1"/>
  </cols>
  <sheetData>
    <row r="1" spans="1:18" ht="33" customHeight="1" x14ac:dyDescent="0.35">
      <c r="A1" s="59" t="s">
        <v>49</v>
      </c>
      <c r="B1" s="59"/>
      <c r="C1" s="59"/>
      <c r="D1" s="59"/>
      <c r="E1" s="59"/>
      <c r="F1" s="59"/>
      <c r="G1" s="35"/>
      <c r="H1" s="60" t="s">
        <v>44</v>
      </c>
      <c r="I1" s="60"/>
      <c r="J1" s="60"/>
      <c r="L1" s="60" t="s">
        <v>48</v>
      </c>
      <c r="M1" s="60"/>
      <c r="N1" s="60"/>
    </row>
    <row r="2" spans="1:18" s="9" customFormat="1" ht="67.5" x14ac:dyDescent="0.25">
      <c r="A2" s="8" t="s">
        <v>37</v>
      </c>
      <c r="B2" s="8" t="s">
        <v>21</v>
      </c>
      <c r="C2" s="12" t="s">
        <v>50</v>
      </c>
      <c r="D2" s="12" t="s">
        <v>45</v>
      </c>
      <c r="E2" s="12" t="s">
        <v>46</v>
      </c>
      <c r="F2" s="12" t="s">
        <v>38</v>
      </c>
      <c r="G2" s="16"/>
      <c r="H2" s="10" t="s">
        <v>41</v>
      </c>
      <c r="I2" s="10" t="s">
        <v>36</v>
      </c>
      <c r="J2" s="25" t="s">
        <v>42</v>
      </c>
      <c r="K2" s="16"/>
      <c r="L2" s="32" t="s">
        <v>34</v>
      </c>
      <c r="M2" s="32" t="s">
        <v>47</v>
      </c>
      <c r="N2" s="29" t="s">
        <v>29</v>
      </c>
    </row>
    <row r="3" spans="1:18" s="15" customFormat="1" x14ac:dyDescent="0.5">
      <c r="A3" s="13">
        <v>1</v>
      </c>
      <c r="B3" s="23" t="s">
        <v>35</v>
      </c>
      <c r="C3" s="24">
        <v>10000000</v>
      </c>
      <c r="D3" s="24">
        <v>2</v>
      </c>
      <c r="E3" s="14">
        <f>IF(C3&gt;0,C3*(1.32)+310535,0)</f>
        <v>13510535</v>
      </c>
      <c r="F3" s="14">
        <f>IFERROR(VLOOKUP(D3,I$3:J$33,2,0),0)</f>
        <v>186400</v>
      </c>
      <c r="G3" s="17"/>
      <c r="H3" s="10" t="s">
        <v>43</v>
      </c>
      <c r="I3" s="10">
        <f>1404-H3</f>
        <v>0</v>
      </c>
      <c r="J3" s="25"/>
      <c r="K3" s="17"/>
      <c r="L3" s="32">
        <v>0</v>
      </c>
      <c r="M3" s="32">
        <v>240000000</v>
      </c>
      <c r="N3" s="29">
        <v>0</v>
      </c>
    </row>
    <row r="4" spans="1:18" s="15" customFormat="1" x14ac:dyDescent="0.5">
      <c r="A4" s="13">
        <v>2</v>
      </c>
      <c r="B4" s="23" t="s">
        <v>51</v>
      </c>
      <c r="C4" s="24">
        <v>2388728</v>
      </c>
      <c r="D4" s="24">
        <v>5</v>
      </c>
      <c r="E4" s="14">
        <f t="shared" ref="E4:E50" si="0">IF(C4&gt;0,C4*(1.32)+310535,0)</f>
        <v>3463655.96</v>
      </c>
      <c r="F4" s="14">
        <f t="shared" ref="F4:F50" si="1">IFERROR(VLOOKUP(D4,I$3:J$33,2,0),0)</f>
        <v>561017</v>
      </c>
      <c r="G4" s="17"/>
      <c r="H4" s="10">
        <v>1403</v>
      </c>
      <c r="I4" s="10">
        <f t="shared" ref="I4:I33" si="2">1404-H4</f>
        <v>1</v>
      </c>
      <c r="J4" s="25">
        <v>94000</v>
      </c>
      <c r="K4" s="17"/>
      <c r="L4" s="32">
        <f>M3+1</f>
        <v>240000001</v>
      </c>
      <c r="M4" s="32">
        <v>300000000</v>
      </c>
      <c r="N4" s="29">
        <v>0.1</v>
      </c>
      <c r="P4" s="56"/>
      <c r="Q4" s="56"/>
      <c r="R4" s="56"/>
    </row>
    <row r="5" spans="1:18" s="15" customFormat="1" x14ac:dyDescent="0.5">
      <c r="A5" s="13">
        <v>3</v>
      </c>
      <c r="B5" s="23"/>
      <c r="C5" s="24"/>
      <c r="D5" s="24">
        <v>6</v>
      </c>
      <c r="E5" s="14">
        <f t="shared" si="0"/>
        <v>0</v>
      </c>
      <c r="F5" s="14">
        <f t="shared" si="1"/>
        <v>673958</v>
      </c>
      <c r="G5" s="17"/>
      <c r="H5" s="10">
        <v>1402</v>
      </c>
      <c r="I5" s="10">
        <f t="shared" si="2"/>
        <v>2</v>
      </c>
      <c r="J5" s="25">
        <v>186400</v>
      </c>
      <c r="K5" s="17"/>
      <c r="L5" s="32">
        <f t="shared" ref="L5:L8" si="3">M4+1</f>
        <v>300000001</v>
      </c>
      <c r="M5" s="32">
        <v>380000000</v>
      </c>
      <c r="N5" s="29">
        <v>0.15</v>
      </c>
      <c r="P5" s="56"/>
      <c r="Q5" s="56"/>
      <c r="R5" s="56"/>
    </row>
    <row r="6" spans="1:18" s="15" customFormat="1" x14ac:dyDescent="0.5">
      <c r="A6" s="13">
        <v>4</v>
      </c>
      <c r="B6" s="23"/>
      <c r="C6" s="24"/>
      <c r="D6" s="24">
        <v>7</v>
      </c>
      <c r="E6" s="14">
        <f t="shared" si="0"/>
        <v>0</v>
      </c>
      <c r="F6" s="14">
        <f t="shared" si="1"/>
        <v>764873</v>
      </c>
      <c r="G6" s="17"/>
      <c r="H6" s="10">
        <v>1401</v>
      </c>
      <c r="I6" s="10">
        <f t="shared" si="2"/>
        <v>3</v>
      </c>
      <c r="J6" s="25">
        <v>299128</v>
      </c>
      <c r="K6" s="17"/>
      <c r="L6" s="32">
        <f t="shared" si="3"/>
        <v>380000001</v>
      </c>
      <c r="M6" s="32">
        <v>500000000</v>
      </c>
      <c r="N6" s="29">
        <v>0.2</v>
      </c>
      <c r="P6" s="56"/>
      <c r="Q6" s="56"/>
      <c r="R6" s="56"/>
    </row>
    <row r="7" spans="1:18" s="15" customFormat="1" x14ac:dyDescent="0.5">
      <c r="A7" s="13">
        <v>5</v>
      </c>
      <c r="B7" s="23"/>
      <c r="C7" s="24"/>
      <c r="D7" s="24">
        <v>8</v>
      </c>
      <c r="E7" s="14">
        <f t="shared" si="0"/>
        <v>0</v>
      </c>
      <c r="F7" s="14">
        <f t="shared" si="1"/>
        <v>839722</v>
      </c>
      <c r="G7" s="17"/>
      <c r="H7" s="10">
        <v>1400</v>
      </c>
      <c r="I7" s="10">
        <f t="shared" si="2"/>
        <v>4</v>
      </c>
      <c r="J7" s="25">
        <v>435529</v>
      </c>
      <c r="K7" s="17"/>
      <c r="L7" s="32">
        <f t="shared" si="3"/>
        <v>500000001</v>
      </c>
      <c r="M7" s="32">
        <v>666666666</v>
      </c>
      <c r="N7" s="29">
        <v>0.25</v>
      </c>
      <c r="P7" s="56"/>
      <c r="Q7" s="56"/>
    </row>
    <row r="8" spans="1:18" s="15" customFormat="1" x14ac:dyDescent="0.5">
      <c r="A8" s="13">
        <v>6</v>
      </c>
      <c r="B8" s="23"/>
      <c r="C8" s="24"/>
      <c r="D8" s="24">
        <v>1</v>
      </c>
      <c r="E8" s="14">
        <f t="shared" si="0"/>
        <v>0</v>
      </c>
      <c r="F8" s="14">
        <f t="shared" si="1"/>
        <v>94000</v>
      </c>
      <c r="G8" s="17"/>
      <c r="H8" s="10">
        <v>1399</v>
      </c>
      <c r="I8" s="10">
        <f t="shared" si="2"/>
        <v>5</v>
      </c>
      <c r="J8" s="25">
        <v>561017</v>
      </c>
      <c r="K8" s="17"/>
      <c r="L8" s="32">
        <f t="shared" si="3"/>
        <v>666666667</v>
      </c>
      <c r="M8" s="32">
        <v>9999999999</v>
      </c>
      <c r="N8" s="29">
        <v>0.3</v>
      </c>
      <c r="P8" s="56"/>
      <c r="Q8" s="56"/>
    </row>
    <row r="9" spans="1:18" s="15" customFormat="1" x14ac:dyDescent="0.5">
      <c r="A9" s="13">
        <v>7</v>
      </c>
      <c r="B9" s="23"/>
      <c r="C9" s="24"/>
      <c r="D9" s="24"/>
      <c r="E9" s="14">
        <f t="shared" si="0"/>
        <v>0</v>
      </c>
      <c r="F9" s="14">
        <f t="shared" si="1"/>
        <v>0</v>
      </c>
      <c r="G9" s="17"/>
      <c r="H9" s="10">
        <v>1398</v>
      </c>
      <c r="I9" s="10">
        <f t="shared" si="2"/>
        <v>6</v>
      </c>
      <c r="J9" s="25">
        <v>673958</v>
      </c>
      <c r="K9" s="17"/>
      <c r="L9" s="17"/>
      <c r="M9" s="28"/>
      <c r="N9" s="30"/>
    </row>
    <row r="10" spans="1:18" s="15" customFormat="1" x14ac:dyDescent="0.5">
      <c r="A10" s="13">
        <v>8</v>
      </c>
      <c r="B10" s="23"/>
      <c r="C10" s="24"/>
      <c r="D10" s="24"/>
      <c r="E10" s="14">
        <f t="shared" si="0"/>
        <v>0</v>
      </c>
      <c r="F10" s="14">
        <f t="shared" si="1"/>
        <v>0</v>
      </c>
      <c r="G10" s="17"/>
      <c r="H10" s="10">
        <v>1397</v>
      </c>
      <c r="I10" s="10">
        <f t="shared" si="2"/>
        <v>7</v>
      </c>
      <c r="J10" s="25">
        <v>764873</v>
      </c>
      <c r="K10" s="17"/>
      <c r="L10" s="17"/>
      <c r="M10" s="28"/>
      <c r="N10" s="30"/>
    </row>
    <row r="11" spans="1:18" s="15" customFormat="1" x14ac:dyDescent="0.5">
      <c r="A11" s="13">
        <v>9</v>
      </c>
      <c r="B11" s="23"/>
      <c r="C11" s="24"/>
      <c r="D11" s="24"/>
      <c r="E11" s="14">
        <f t="shared" si="0"/>
        <v>0</v>
      </c>
      <c r="F11" s="14">
        <f t="shared" si="1"/>
        <v>0</v>
      </c>
      <c r="G11" s="17"/>
      <c r="H11" s="10">
        <v>1396</v>
      </c>
      <c r="I11" s="10">
        <f t="shared" si="2"/>
        <v>8</v>
      </c>
      <c r="J11" s="25">
        <v>839722</v>
      </c>
      <c r="K11" s="17"/>
      <c r="L11" s="17"/>
      <c r="M11" s="28"/>
      <c r="N11" s="30"/>
    </row>
    <row r="12" spans="1:18" s="15" customFormat="1" x14ac:dyDescent="0.5">
      <c r="A12" s="13">
        <v>10</v>
      </c>
      <c r="B12" s="23"/>
      <c r="C12" s="24"/>
      <c r="D12" s="24"/>
      <c r="E12" s="14">
        <f t="shared" si="0"/>
        <v>0</v>
      </c>
      <c r="F12" s="14">
        <f t="shared" si="1"/>
        <v>0</v>
      </c>
      <c r="G12" s="17"/>
      <c r="H12" s="10">
        <v>1395</v>
      </c>
      <c r="I12" s="10">
        <f t="shared" si="2"/>
        <v>9</v>
      </c>
      <c r="J12" s="25">
        <v>922359</v>
      </c>
      <c r="K12" s="17"/>
      <c r="L12" s="17"/>
      <c r="M12" s="28"/>
      <c r="N12" s="30"/>
    </row>
    <row r="13" spans="1:18" s="15" customFormat="1" x14ac:dyDescent="0.5">
      <c r="A13" s="13">
        <v>11</v>
      </c>
      <c r="B13" s="23"/>
      <c r="C13" s="24"/>
      <c r="D13" s="24"/>
      <c r="E13" s="14">
        <f t="shared" si="0"/>
        <v>0</v>
      </c>
      <c r="F13" s="14">
        <f t="shared" si="1"/>
        <v>0</v>
      </c>
      <c r="G13" s="17"/>
      <c r="H13" s="10">
        <v>1394</v>
      </c>
      <c r="I13" s="10">
        <f t="shared" si="2"/>
        <v>10</v>
      </c>
      <c r="J13" s="25">
        <v>976799</v>
      </c>
      <c r="K13" s="17"/>
      <c r="L13" s="17"/>
      <c r="M13" s="28"/>
      <c r="N13" s="30"/>
    </row>
    <row r="14" spans="1:18" s="15" customFormat="1" x14ac:dyDescent="0.5">
      <c r="A14" s="13">
        <v>12</v>
      </c>
      <c r="B14" s="23"/>
      <c r="C14" s="24"/>
      <c r="D14" s="24"/>
      <c r="E14" s="14">
        <f t="shared" si="0"/>
        <v>0</v>
      </c>
      <c r="F14" s="14">
        <f t="shared" si="1"/>
        <v>0</v>
      </c>
      <c r="G14" s="17"/>
      <c r="H14" s="10">
        <v>1393</v>
      </c>
      <c r="I14" s="10">
        <f t="shared" si="2"/>
        <v>11</v>
      </c>
      <c r="J14" s="25">
        <v>1038860</v>
      </c>
      <c r="K14" s="17"/>
      <c r="L14" s="17"/>
      <c r="M14" s="28"/>
      <c r="N14" s="30"/>
    </row>
    <row r="15" spans="1:18" s="15" customFormat="1" x14ac:dyDescent="0.5">
      <c r="A15" s="13">
        <v>13</v>
      </c>
      <c r="B15" s="23"/>
      <c r="C15" s="24"/>
      <c r="D15" s="24"/>
      <c r="E15" s="14">
        <f t="shared" si="0"/>
        <v>0</v>
      </c>
      <c r="F15" s="14">
        <f t="shared" si="1"/>
        <v>0</v>
      </c>
      <c r="G15" s="17"/>
      <c r="H15" s="10">
        <v>1392</v>
      </c>
      <c r="I15" s="10">
        <f t="shared" si="2"/>
        <v>12</v>
      </c>
      <c r="J15" s="25">
        <v>1075168</v>
      </c>
      <c r="K15" s="17"/>
      <c r="L15" s="17"/>
      <c r="M15" s="28"/>
      <c r="N15" s="30"/>
    </row>
    <row r="16" spans="1:18" s="15" customFormat="1" x14ac:dyDescent="0.5">
      <c r="A16" s="13">
        <v>14</v>
      </c>
      <c r="B16" s="23"/>
      <c r="C16" s="24"/>
      <c r="D16" s="24"/>
      <c r="E16" s="14">
        <f t="shared" si="0"/>
        <v>0</v>
      </c>
      <c r="F16" s="14">
        <f t="shared" si="1"/>
        <v>0</v>
      </c>
      <c r="G16" s="17"/>
      <c r="H16" s="10">
        <v>1391</v>
      </c>
      <c r="I16" s="10">
        <f t="shared" si="2"/>
        <v>13</v>
      </c>
      <c r="J16" s="25">
        <v>1099568</v>
      </c>
      <c r="K16" s="17"/>
      <c r="L16" s="17"/>
      <c r="M16" s="28"/>
      <c r="N16" s="30"/>
    </row>
    <row r="17" spans="1:14" s="15" customFormat="1" x14ac:dyDescent="0.5">
      <c r="A17" s="13">
        <v>15</v>
      </c>
      <c r="B17" s="23"/>
      <c r="C17" s="24"/>
      <c r="D17" s="24"/>
      <c r="E17" s="14">
        <f t="shared" si="0"/>
        <v>0</v>
      </c>
      <c r="F17" s="14">
        <f t="shared" si="1"/>
        <v>0</v>
      </c>
      <c r="G17" s="17"/>
      <c r="H17" s="10">
        <v>1390</v>
      </c>
      <c r="I17" s="10">
        <f t="shared" si="2"/>
        <v>14</v>
      </c>
      <c r="J17" s="25">
        <v>1121934</v>
      </c>
      <c r="K17" s="17"/>
      <c r="L17" s="17"/>
      <c r="M17" s="28"/>
      <c r="N17" s="30"/>
    </row>
    <row r="18" spans="1:14" s="15" customFormat="1" x14ac:dyDescent="0.5">
      <c r="A18" s="13">
        <v>16</v>
      </c>
      <c r="B18" s="23"/>
      <c r="C18" s="24"/>
      <c r="D18" s="24"/>
      <c r="E18" s="14">
        <f t="shared" si="0"/>
        <v>0</v>
      </c>
      <c r="F18" s="14">
        <f t="shared" si="1"/>
        <v>0</v>
      </c>
      <c r="G18" s="17"/>
      <c r="H18" s="10">
        <v>1389</v>
      </c>
      <c r="I18" s="10">
        <f t="shared" si="2"/>
        <v>15</v>
      </c>
      <c r="J18" s="25">
        <v>1141081</v>
      </c>
      <c r="K18" s="17"/>
      <c r="L18" s="17"/>
      <c r="M18" s="28"/>
      <c r="N18" s="30"/>
    </row>
    <row r="19" spans="1:14" s="15" customFormat="1" x14ac:dyDescent="0.5">
      <c r="A19" s="13">
        <v>17</v>
      </c>
      <c r="B19" s="23"/>
      <c r="C19" s="24"/>
      <c r="D19" s="24"/>
      <c r="E19" s="14">
        <f t="shared" si="0"/>
        <v>0</v>
      </c>
      <c r="F19" s="14">
        <f t="shared" si="1"/>
        <v>0</v>
      </c>
      <c r="G19" s="17"/>
      <c r="H19" s="10">
        <v>1388</v>
      </c>
      <c r="I19" s="10">
        <f t="shared" si="2"/>
        <v>16</v>
      </c>
      <c r="J19" s="25">
        <v>1161373</v>
      </c>
      <c r="K19" s="17"/>
      <c r="L19" s="17"/>
      <c r="M19" s="28"/>
      <c r="N19" s="30"/>
    </row>
    <row r="20" spans="1:14" s="15" customFormat="1" x14ac:dyDescent="0.5">
      <c r="A20" s="13">
        <v>18</v>
      </c>
      <c r="B20" s="23"/>
      <c r="C20" s="24"/>
      <c r="D20" s="24"/>
      <c r="E20" s="14">
        <f t="shared" si="0"/>
        <v>0</v>
      </c>
      <c r="F20" s="14">
        <f t="shared" si="1"/>
        <v>0</v>
      </c>
      <c r="G20" s="17"/>
      <c r="H20" s="10">
        <v>1387</v>
      </c>
      <c r="I20" s="10">
        <f t="shared" si="2"/>
        <v>17</v>
      </c>
      <c r="J20" s="25">
        <v>1174944</v>
      </c>
      <c r="K20" s="17"/>
      <c r="L20" s="17"/>
      <c r="M20" s="28"/>
      <c r="N20" s="30"/>
    </row>
    <row r="21" spans="1:14" s="15" customFormat="1" x14ac:dyDescent="0.5">
      <c r="A21" s="13">
        <v>19</v>
      </c>
      <c r="B21" s="23"/>
      <c r="C21" s="24"/>
      <c r="D21" s="24"/>
      <c r="E21" s="14">
        <f t="shared" si="0"/>
        <v>0</v>
      </c>
      <c r="F21" s="14">
        <f t="shared" si="1"/>
        <v>0</v>
      </c>
      <c r="G21" s="17"/>
      <c r="H21" s="10">
        <v>1386</v>
      </c>
      <c r="I21" s="10">
        <f t="shared" si="2"/>
        <v>18</v>
      </c>
      <c r="J21" s="25">
        <v>1189193</v>
      </c>
      <c r="K21" s="17"/>
      <c r="L21" s="17"/>
      <c r="M21" s="28"/>
      <c r="N21" s="30"/>
    </row>
    <row r="22" spans="1:14" s="15" customFormat="1" x14ac:dyDescent="0.5">
      <c r="A22" s="13">
        <v>20</v>
      </c>
      <c r="B22" s="23"/>
      <c r="C22" s="24"/>
      <c r="D22" s="24"/>
      <c r="E22" s="14">
        <f t="shared" si="0"/>
        <v>0</v>
      </c>
      <c r="F22" s="14">
        <f t="shared" si="1"/>
        <v>0</v>
      </c>
      <c r="G22" s="17"/>
      <c r="H22" s="10">
        <v>1385</v>
      </c>
      <c r="I22" s="10">
        <f t="shared" si="2"/>
        <v>19</v>
      </c>
      <c r="J22" s="25">
        <v>1204156</v>
      </c>
      <c r="K22" s="17"/>
      <c r="L22" s="17"/>
      <c r="M22" s="28"/>
      <c r="N22" s="30"/>
    </row>
    <row r="23" spans="1:14" s="15" customFormat="1" x14ac:dyDescent="0.5">
      <c r="A23" s="13">
        <v>21</v>
      </c>
      <c r="B23" s="23"/>
      <c r="C23" s="24"/>
      <c r="D23" s="24"/>
      <c r="E23" s="14">
        <f t="shared" si="0"/>
        <v>0</v>
      </c>
      <c r="F23" s="14">
        <f t="shared" si="1"/>
        <v>0</v>
      </c>
      <c r="G23" s="17"/>
      <c r="H23" s="10">
        <v>1384</v>
      </c>
      <c r="I23" s="10">
        <f t="shared" si="2"/>
        <v>20</v>
      </c>
      <c r="J23" s="25">
        <v>1220615</v>
      </c>
      <c r="K23" s="17"/>
      <c r="L23" s="17"/>
      <c r="M23" s="28"/>
      <c r="N23" s="30"/>
    </row>
    <row r="24" spans="1:14" s="15" customFormat="1" x14ac:dyDescent="0.5">
      <c r="A24" s="13">
        <v>22</v>
      </c>
      <c r="B24" s="23"/>
      <c r="C24" s="24"/>
      <c r="D24" s="24"/>
      <c r="E24" s="14">
        <f t="shared" si="0"/>
        <v>0</v>
      </c>
      <c r="F24" s="14">
        <f t="shared" si="1"/>
        <v>0</v>
      </c>
      <c r="G24" s="17"/>
      <c r="H24" s="10">
        <v>1383</v>
      </c>
      <c r="I24" s="10">
        <f t="shared" si="2"/>
        <v>21</v>
      </c>
      <c r="J24" s="25">
        <v>1235386</v>
      </c>
      <c r="K24" s="17"/>
      <c r="L24" s="17"/>
      <c r="M24" s="28"/>
      <c r="N24" s="30"/>
    </row>
    <row r="25" spans="1:14" s="15" customFormat="1" x14ac:dyDescent="0.5">
      <c r="A25" s="13">
        <v>23</v>
      </c>
      <c r="B25" s="23"/>
      <c r="C25" s="24"/>
      <c r="D25" s="24"/>
      <c r="E25" s="14">
        <f t="shared" si="0"/>
        <v>0</v>
      </c>
      <c r="F25" s="14">
        <f t="shared" si="1"/>
        <v>0</v>
      </c>
      <c r="G25" s="17"/>
      <c r="H25" s="10">
        <v>1382</v>
      </c>
      <c r="I25" s="10">
        <f t="shared" si="2"/>
        <v>22</v>
      </c>
      <c r="J25" s="25">
        <v>1248422</v>
      </c>
      <c r="K25" s="17"/>
      <c r="L25" s="17"/>
      <c r="M25" s="28"/>
      <c r="N25" s="30"/>
    </row>
    <row r="26" spans="1:14" s="15" customFormat="1" x14ac:dyDescent="0.5">
      <c r="A26" s="13">
        <v>24</v>
      </c>
      <c r="B26" s="23"/>
      <c r="C26" s="24"/>
      <c r="D26" s="24"/>
      <c r="E26" s="14">
        <f t="shared" si="0"/>
        <v>0</v>
      </c>
      <c r="F26" s="14">
        <f t="shared" si="1"/>
        <v>0</v>
      </c>
      <c r="G26" s="17"/>
      <c r="H26" s="10">
        <v>1381</v>
      </c>
      <c r="I26" s="10">
        <f t="shared" si="2"/>
        <v>23</v>
      </c>
      <c r="J26" s="25">
        <v>1258705</v>
      </c>
      <c r="K26" s="17"/>
      <c r="L26" s="17"/>
      <c r="M26" s="28"/>
      <c r="N26" s="30"/>
    </row>
    <row r="27" spans="1:14" s="15" customFormat="1" x14ac:dyDescent="0.5">
      <c r="A27" s="13">
        <v>25</v>
      </c>
      <c r="B27" s="23"/>
      <c r="C27" s="24"/>
      <c r="D27" s="24"/>
      <c r="E27" s="14">
        <f t="shared" si="0"/>
        <v>0</v>
      </c>
      <c r="F27" s="14">
        <f t="shared" si="1"/>
        <v>0</v>
      </c>
      <c r="G27" s="17"/>
      <c r="H27" s="10">
        <v>1380</v>
      </c>
      <c r="I27" s="10">
        <f t="shared" si="2"/>
        <v>24</v>
      </c>
      <c r="J27" s="25">
        <v>1267521</v>
      </c>
      <c r="K27" s="17"/>
      <c r="L27" s="17"/>
      <c r="M27" s="28"/>
      <c r="N27" s="30"/>
    </row>
    <row r="28" spans="1:14" s="15" customFormat="1" x14ac:dyDescent="0.5">
      <c r="A28" s="13">
        <v>26</v>
      </c>
      <c r="B28" s="23"/>
      <c r="C28" s="24"/>
      <c r="D28" s="24"/>
      <c r="E28" s="14">
        <f t="shared" si="0"/>
        <v>0</v>
      </c>
      <c r="F28" s="14">
        <f t="shared" si="1"/>
        <v>0</v>
      </c>
      <c r="G28" s="17"/>
      <c r="H28" s="10">
        <v>1379</v>
      </c>
      <c r="I28" s="10">
        <f t="shared" si="2"/>
        <v>25</v>
      </c>
      <c r="J28" s="25">
        <v>1275000</v>
      </c>
      <c r="K28" s="17"/>
      <c r="L28" s="17"/>
      <c r="M28" s="28"/>
      <c r="N28" s="30"/>
    </row>
    <row r="29" spans="1:14" s="15" customFormat="1" x14ac:dyDescent="0.5">
      <c r="A29" s="13">
        <v>27</v>
      </c>
      <c r="B29" s="23"/>
      <c r="C29" s="24"/>
      <c r="D29" s="24"/>
      <c r="E29" s="14">
        <f t="shared" si="0"/>
        <v>0</v>
      </c>
      <c r="F29" s="14">
        <f t="shared" si="1"/>
        <v>0</v>
      </c>
      <c r="G29" s="17"/>
      <c r="H29" s="10">
        <v>1378</v>
      </c>
      <c r="I29" s="10">
        <f t="shared" si="2"/>
        <v>26</v>
      </c>
      <c r="J29" s="25">
        <v>1281327</v>
      </c>
      <c r="K29" s="17"/>
      <c r="L29" s="17"/>
      <c r="M29" s="28"/>
      <c r="N29" s="30"/>
    </row>
    <row r="30" spans="1:14" s="15" customFormat="1" x14ac:dyDescent="0.5">
      <c r="A30" s="13">
        <v>28</v>
      </c>
      <c r="B30" s="23"/>
      <c r="C30" s="24"/>
      <c r="D30" s="24"/>
      <c r="E30" s="14">
        <f t="shared" si="0"/>
        <v>0</v>
      </c>
      <c r="F30" s="14">
        <f t="shared" si="1"/>
        <v>0</v>
      </c>
      <c r="G30" s="17"/>
      <c r="H30" s="10">
        <v>1377</v>
      </c>
      <c r="I30" s="10">
        <f t="shared" si="2"/>
        <v>27</v>
      </c>
      <c r="J30" s="25">
        <v>1285196</v>
      </c>
      <c r="K30" s="17"/>
      <c r="L30" s="17"/>
      <c r="M30" s="28"/>
      <c r="N30" s="30"/>
    </row>
    <row r="31" spans="1:14" s="15" customFormat="1" x14ac:dyDescent="0.5">
      <c r="A31" s="13">
        <v>29</v>
      </c>
      <c r="B31" s="23"/>
      <c r="C31" s="24"/>
      <c r="D31" s="24"/>
      <c r="E31" s="14">
        <f t="shared" si="0"/>
        <v>0</v>
      </c>
      <c r="F31" s="14">
        <f t="shared" si="1"/>
        <v>0</v>
      </c>
      <c r="G31" s="17"/>
      <c r="H31" s="10">
        <v>1376</v>
      </c>
      <c r="I31" s="10">
        <f t="shared" si="2"/>
        <v>28</v>
      </c>
      <c r="J31" s="25">
        <v>1288468</v>
      </c>
      <c r="K31" s="17"/>
      <c r="L31" s="17"/>
      <c r="M31" s="28"/>
      <c r="N31" s="30"/>
    </row>
    <row r="32" spans="1:14" s="15" customFormat="1" x14ac:dyDescent="0.5">
      <c r="A32" s="13">
        <v>30</v>
      </c>
      <c r="B32" s="23"/>
      <c r="C32" s="24"/>
      <c r="D32" s="24"/>
      <c r="E32" s="14">
        <f t="shared" si="0"/>
        <v>0</v>
      </c>
      <c r="F32" s="14">
        <f t="shared" si="1"/>
        <v>0</v>
      </c>
      <c r="G32" s="17"/>
      <c r="H32" s="10">
        <v>1375</v>
      </c>
      <c r="I32" s="10">
        <f t="shared" si="2"/>
        <v>29</v>
      </c>
      <c r="J32" s="25">
        <v>1291772</v>
      </c>
      <c r="K32" s="17"/>
      <c r="L32" s="17"/>
      <c r="M32" s="28"/>
      <c r="N32" s="30"/>
    </row>
    <row r="33" spans="1:14" s="15" customFormat="1" x14ac:dyDescent="0.5">
      <c r="A33" s="13">
        <v>31</v>
      </c>
      <c r="B33" s="23"/>
      <c r="C33" s="24"/>
      <c r="D33" s="24"/>
      <c r="E33" s="14">
        <f t="shared" si="0"/>
        <v>0</v>
      </c>
      <c r="F33" s="14">
        <f t="shared" si="1"/>
        <v>0</v>
      </c>
      <c r="G33" s="17"/>
      <c r="H33" s="10">
        <v>1374</v>
      </c>
      <c r="I33" s="10">
        <f t="shared" si="2"/>
        <v>30</v>
      </c>
      <c r="J33" s="25">
        <v>1295768</v>
      </c>
      <c r="K33" s="17"/>
      <c r="L33" s="17"/>
      <c r="M33" s="28"/>
      <c r="N33" s="30"/>
    </row>
    <row r="34" spans="1:14" s="15" customFormat="1" x14ac:dyDescent="0.5">
      <c r="A34" s="13">
        <v>32</v>
      </c>
      <c r="B34" s="23"/>
      <c r="C34" s="24"/>
      <c r="D34" s="24"/>
      <c r="E34" s="14">
        <f t="shared" si="0"/>
        <v>0</v>
      </c>
      <c r="F34" s="14">
        <f t="shared" si="1"/>
        <v>0</v>
      </c>
      <c r="G34" s="17"/>
      <c r="H34" s="26"/>
      <c r="I34" s="26"/>
      <c r="J34" s="27"/>
      <c r="K34" s="17"/>
      <c r="L34" s="17"/>
      <c r="M34" s="28"/>
      <c r="N34" s="30"/>
    </row>
    <row r="35" spans="1:14" s="15" customFormat="1" x14ac:dyDescent="0.5">
      <c r="A35" s="13">
        <v>33</v>
      </c>
      <c r="B35" s="23"/>
      <c r="C35" s="24"/>
      <c r="D35" s="24"/>
      <c r="E35" s="14">
        <f t="shared" si="0"/>
        <v>0</v>
      </c>
      <c r="F35" s="14">
        <f t="shared" si="1"/>
        <v>0</v>
      </c>
      <c r="G35" s="17"/>
      <c r="H35" s="26"/>
      <c r="I35" s="26"/>
      <c r="J35" s="27"/>
      <c r="K35" s="17"/>
      <c r="L35" s="17"/>
      <c r="M35" s="28"/>
      <c r="N35" s="30"/>
    </row>
    <row r="36" spans="1:14" s="15" customFormat="1" x14ac:dyDescent="0.5">
      <c r="A36" s="13">
        <v>34</v>
      </c>
      <c r="B36" s="23"/>
      <c r="C36" s="24"/>
      <c r="D36" s="24"/>
      <c r="E36" s="14">
        <f t="shared" si="0"/>
        <v>0</v>
      </c>
      <c r="F36" s="14">
        <f t="shared" si="1"/>
        <v>0</v>
      </c>
      <c r="G36" s="17"/>
      <c r="H36" s="26"/>
      <c r="I36" s="26"/>
      <c r="J36" s="27"/>
      <c r="K36" s="17"/>
      <c r="L36" s="17"/>
      <c r="M36" s="28"/>
      <c r="N36" s="30"/>
    </row>
    <row r="37" spans="1:14" s="15" customFormat="1" x14ac:dyDescent="0.5">
      <c r="A37" s="13">
        <v>35</v>
      </c>
      <c r="B37" s="23"/>
      <c r="C37" s="24"/>
      <c r="D37" s="24"/>
      <c r="E37" s="14">
        <f t="shared" si="0"/>
        <v>0</v>
      </c>
      <c r="F37" s="14">
        <f t="shared" si="1"/>
        <v>0</v>
      </c>
      <c r="G37" s="17"/>
      <c r="H37" s="26"/>
      <c r="I37" s="26"/>
      <c r="J37" s="27"/>
      <c r="K37" s="17"/>
      <c r="L37" s="17"/>
      <c r="M37" s="28"/>
      <c r="N37" s="30"/>
    </row>
    <row r="38" spans="1:14" s="15" customFormat="1" x14ac:dyDescent="0.5">
      <c r="A38" s="13">
        <v>36</v>
      </c>
      <c r="B38" s="23"/>
      <c r="C38" s="24"/>
      <c r="D38" s="24"/>
      <c r="E38" s="14">
        <f t="shared" si="0"/>
        <v>0</v>
      </c>
      <c r="F38" s="14">
        <f t="shared" si="1"/>
        <v>0</v>
      </c>
      <c r="G38" s="17"/>
      <c r="H38" s="26"/>
      <c r="I38" s="26"/>
      <c r="J38" s="27"/>
      <c r="K38" s="17"/>
      <c r="L38" s="17"/>
      <c r="M38" s="28"/>
      <c r="N38" s="30"/>
    </row>
    <row r="39" spans="1:14" s="15" customFormat="1" x14ac:dyDescent="0.5">
      <c r="A39" s="13">
        <v>37</v>
      </c>
      <c r="B39" s="23"/>
      <c r="C39" s="24"/>
      <c r="D39" s="24"/>
      <c r="E39" s="14">
        <f t="shared" si="0"/>
        <v>0</v>
      </c>
      <c r="F39" s="14">
        <f t="shared" si="1"/>
        <v>0</v>
      </c>
      <c r="G39" s="17"/>
      <c r="H39" s="26"/>
      <c r="I39" s="26"/>
      <c r="J39" s="27"/>
      <c r="K39" s="17"/>
      <c r="L39" s="17"/>
      <c r="M39" s="28"/>
      <c r="N39" s="30"/>
    </row>
    <row r="40" spans="1:14" s="15" customFormat="1" x14ac:dyDescent="0.5">
      <c r="A40" s="13">
        <v>38</v>
      </c>
      <c r="B40" s="23"/>
      <c r="C40" s="24"/>
      <c r="D40" s="24"/>
      <c r="E40" s="14">
        <f t="shared" si="0"/>
        <v>0</v>
      </c>
      <c r="F40" s="14">
        <f t="shared" si="1"/>
        <v>0</v>
      </c>
      <c r="G40" s="17"/>
      <c r="H40" s="26"/>
      <c r="I40" s="26"/>
      <c r="J40" s="27"/>
      <c r="K40" s="17"/>
      <c r="L40" s="17"/>
      <c r="M40" s="28"/>
      <c r="N40" s="30"/>
    </row>
    <row r="41" spans="1:14" s="15" customFormat="1" x14ac:dyDescent="0.5">
      <c r="A41" s="13">
        <v>39</v>
      </c>
      <c r="B41" s="23"/>
      <c r="C41" s="24"/>
      <c r="D41" s="24"/>
      <c r="E41" s="14">
        <f t="shared" si="0"/>
        <v>0</v>
      </c>
      <c r="F41" s="14">
        <f t="shared" si="1"/>
        <v>0</v>
      </c>
      <c r="G41" s="17"/>
      <c r="H41" s="26"/>
      <c r="I41" s="26"/>
      <c r="J41" s="27"/>
      <c r="K41" s="17"/>
      <c r="L41" s="17"/>
      <c r="M41" s="28"/>
      <c r="N41" s="30"/>
    </row>
    <row r="42" spans="1:14" s="15" customFormat="1" x14ac:dyDescent="0.5">
      <c r="A42" s="13">
        <v>40</v>
      </c>
      <c r="B42" s="23"/>
      <c r="C42" s="24"/>
      <c r="D42" s="24"/>
      <c r="E42" s="14">
        <f t="shared" si="0"/>
        <v>0</v>
      </c>
      <c r="F42" s="14">
        <f t="shared" si="1"/>
        <v>0</v>
      </c>
      <c r="G42" s="17"/>
      <c r="H42" s="26"/>
      <c r="I42" s="26"/>
      <c r="J42" s="27"/>
      <c r="K42" s="17"/>
      <c r="L42" s="17"/>
      <c r="M42" s="28"/>
      <c r="N42" s="30"/>
    </row>
    <row r="43" spans="1:14" s="15" customFormat="1" x14ac:dyDescent="0.5">
      <c r="A43" s="13">
        <v>41</v>
      </c>
      <c r="B43" s="23"/>
      <c r="C43" s="24"/>
      <c r="D43" s="24"/>
      <c r="E43" s="14">
        <f t="shared" si="0"/>
        <v>0</v>
      </c>
      <c r="F43" s="14">
        <f t="shared" si="1"/>
        <v>0</v>
      </c>
      <c r="G43" s="17"/>
      <c r="H43" s="26"/>
      <c r="I43" s="26"/>
      <c r="J43" s="27"/>
      <c r="K43" s="17"/>
      <c r="L43" s="17"/>
      <c r="M43" s="28"/>
      <c r="N43" s="30"/>
    </row>
    <row r="44" spans="1:14" s="15" customFormat="1" x14ac:dyDescent="0.5">
      <c r="A44" s="13">
        <v>42</v>
      </c>
      <c r="B44" s="23"/>
      <c r="C44" s="24"/>
      <c r="D44" s="24"/>
      <c r="E44" s="14">
        <f t="shared" si="0"/>
        <v>0</v>
      </c>
      <c r="F44" s="14">
        <f t="shared" si="1"/>
        <v>0</v>
      </c>
      <c r="G44" s="17"/>
      <c r="H44" s="26"/>
      <c r="I44" s="26"/>
      <c r="J44" s="27"/>
      <c r="K44" s="17"/>
      <c r="L44" s="17"/>
      <c r="M44" s="28"/>
      <c r="N44" s="30"/>
    </row>
    <row r="45" spans="1:14" s="15" customFormat="1" x14ac:dyDescent="0.5">
      <c r="A45" s="13">
        <v>43</v>
      </c>
      <c r="B45" s="23"/>
      <c r="C45" s="24"/>
      <c r="D45" s="24"/>
      <c r="E45" s="14">
        <f t="shared" si="0"/>
        <v>0</v>
      </c>
      <c r="F45" s="14">
        <f t="shared" si="1"/>
        <v>0</v>
      </c>
      <c r="G45" s="17"/>
      <c r="H45" s="26"/>
      <c r="I45" s="26"/>
      <c r="J45" s="27"/>
      <c r="K45" s="17"/>
      <c r="L45" s="17"/>
      <c r="M45" s="28"/>
      <c r="N45" s="30"/>
    </row>
    <row r="46" spans="1:14" s="15" customFormat="1" x14ac:dyDescent="0.5">
      <c r="A46" s="13">
        <v>44</v>
      </c>
      <c r="B46" s="23"/>
      <c r="C46" s="24"/>
      <c r="D46" s="24"/>
      <c r="E46" s="14">
        <f t="shared" si="0"/>
        <v>0</v>
      </c>
      <c r="F46" s="14">
        <f t="shared" si="1"/>
        <v>0</v>
      </c>
      <c r="G46" s="17"/>
      <c r="H46" s="26"/>
      <c r="I46" s="26"/>
      <c r="J46" s="27"/>
      <c r="K46" s="17"/>
      <c r="L46" s="17"/>
      <c r="M46" s="28"/>
      <c r="N46" s="30"/>
    </row>
    <row r="47" spans="1:14" s="15" customFormat="1" x14ac:dyDescent="0.5">
      <c r="A47" s="13">
        <v>45</v>
      </c>
      <c r="B47" s="23"/>
      <c r="C47" s="24"/>
      <c r="D47" s="24"/>
      <c r="E47" s="14">
        <f t="shared" si="0"/>
        <v>0</v>
      </c>
      <c r="F47" s="14">
        <f t="shared" si="1"/>
        <v>0</v>
      </c>
      <c r="G47" s="17"/>
      <c r="H47" s="26"/>
      <c r="I47" s="26"/>
      <c r="J47" s="27"/>
      <c r="K47" s="17"/>
      <c r="L47" s="17"/>
      <c r="M47" s="28"/>
      <c r="N47" s="30"/>
    </row>
    <row r="48" spans="1:14" s="15" customFormat="1" x14ac:dyDescent="0.5">
      <c r="A48" s="13">
        <v>46</v>
      </c>
      <c r="B48" s="23"/>
      <c r="C48" s="24"/>
      <c r="D48" s="24"/>
      <c r="E48" s="14">
        <f t="shared" si="0"/>
        <v>0</v>
      </c>
      <c r="F48" s="14">
        <f t="shared" si="1"/>
        <v>0</v>
      </c>
      <c r="G48" s="17"/>
      <c r="H48" s="26"/>
      <c r="I48" s="26"/>
      <c r="J48" s="27"/>
      <c r="K48" s="17"/>
      <c r="L48" s="17"/>
      <c r="M48" s="28"/>
      <c r="N48" s="30"/>
    </row>
    <row r="49" spans="1:7" x14ac:dyDescent="0.5">
      <c r="A49" s="13">
        <v>47</v>
      </c>
      <c r="B49" s="33"/>
      <c r="C49" s="34"/>
      <c r="D49" s="34"/>
      <c r="E49" s="14">
        <f t="shared" si="0"/>
        <v>0</v>
      </c>
      <c r="F49" s="14">
        <f t="shared" si="1"/>
        <v>0</v>
      </c>
      <c r="G49" s="17"/>
    </row>
    <row r="50" spans="1:7" x14ac:dyDescent="0.5">
      <c r="A50" s="13">
        <v>48</v>
      </c>
      <c r="B50" s="33"/>
      <c r="C50" s="34"/>
      <c r="D50" s="34"/>
      <c r="E50" s="14">
        <f t="shared" si="0"/>
        <v>0</v>
      </c>
      <c r="F50" s="14">
        <f t="shared" si="1"/>
        <v>0</v>
      </c>
      <c r="G50" s="17"/>
    </row>
  </sheetData>
  <mergeCells count="3">
    <mergeCell ref="A1:F1"/>
    <mergeCell ref="H1:J1"/>
    <mergeCell ref="L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AP35"/>
  <sheetViews>
    <sheetView rightToLeft="1" tabSelected="1" topLeftCell="Y1" zoomScaleNormal="100" zoomScaleSheetLayoutView="100" workbookViewId="0">
      <selection activeCell="AM2" sqref="AM2:AM16"/>
    </sheetView>
  </sheetViews>
  <sheetFormatPr defaultColWidth="10" defaultRowHeight="20.25" x14ac:dyDescent="0.5"/>
  <cols>
    <col min="1" max="1" width="6.28515625" style="1" customWidth="1"/>
    <col min="2" max="2" width="7.42578125" style="1" bestFit="1" customWidth="1"/>
    <col min="3" max="3" width="12.85546875" style="1" bestFit="1" customWidth="1"/>
    <col min="4" max="4" width="13.5703125" style="1" bestFit="1" customWidth="1"/>
    <col min="5" max="5" width="10.28515625" style="5" customWidth="1"/>
    <col min="6" max="6" width="13.5703125" style="1" bestFit="1" customWidth="1"/>
    <col min="7" max="7" width="9.28515625" style="5" customWidth="1"/>
    <col min="8" max="8" width="13.7109375" style="5" customWidth="1"/>
    <col min="9" max="9" width="16.140625" style="1" bestFit="1" customWidth="1"/>
    <col min="10" max="10" width="10.5703125" style="1" bestFit="1" customWidth="1"/>
    <col min="11" max="11" width="9.5703125" style="1" bestFit="1" customWidth="1"/>
    <col min="12" max="12" width="14.7109375" style="1" customWidth="1"/>
    <col min="13" max="13" width="12.28515625" style="1" bestFit="1" customWidth="1"/>
    <col min="14" max="14" width="14.28515625" style="1" bestFit="1" customWidth="1"/>
    <col min="15" max="15" width="13.7109375" style="1" bestFit="1" customWidth="1"/>
    <col min="16" max="17" width="12.140625" style="1" bestFit="1" customWidth="1"/>
    <col min="18" max="18" width="11" style="1" bestFit="1" customWidth="1"/>
    <col min="19" max="19" width="17.85546875" style="1" customWidth="1"/>
    <col min="20" max="20" width="12" style="1" customWidth="1"/>
    <col min="21" max="21" width="12.28515625" style="1" customWidth="1"/>
    <col min="22" max="22" width="10.85546875" style="1" customWidth="1"/>
    <col min="23" max="23" width="14.42578125" style="1" customWidth="1"/>
    <col min="24" max="24" width="13.85546875" style="1" customWidth="1"/>
    <col min="25" max="25" width="14.140625" style="1" customWidth="1"/>
    <col min="26" max="26" width="14.85546875" style="1" customWidth="1"/>
    <col min="27" max="27" width="15.28515625" style="1" bestFit="1" customWidth="1"/>
    <col min="28" max="28" width="18.7109375" style="47" bestFit="1" customWidth="1"/>
    <col min="29" max="29" width="16.5703125" style="46" bestFit="1" customWidth="1"/>
    <col min="30" max="30" width="18.7109375" style="47" bestFit="1" customWidth="1"/>
    <col min="31" max="31" width="16.7109375" style="47" bestFit="1" customWidth="1"/>
    <col min="32" max="32" width="17.7109375" style="47" bestFit="1" customWidth="1"/>
    <col min="33" max="33" width="16.7109375" style="47" bestFit="1" customWidth="1"/>
    <col min="34" max="34" width="14.5703125" style="1" customWidth="1"/>
    <col min="35" max="35" width="12.28515625" style="1" bestFit="1" customWidth="1"/>
    <col min="36" max="36" width="12.85546875" style="1" bestFit="1" customWidth="1"/>
    <col min="37" max="37" width="11.28515625" style="1" bestFit="1" customWidth="1"/>
    <col min="38" max="38" width="13" style="1" bestFit="1" customWidth="1"/>
    <col min="39" max="39" width="12" style="18" bestFit="1" customWidth="1"/>
    <col min="40" max="40" width="11" style="1" bestFit="1" customWidth="1"/>
    <col min="41" max="41" width="13.85546875" style="1" bestFit="1" customWidth="1"/>
    <col min="42" max="42" width="12.28515625" style="1" bestFit="1" customWidth="1"/>
    <col min="43" max="16384" width="10" style="1"/>
  </cols>
  <sheetData>
    <row r="1" spans="1:42" s="5" customFormat="1" ht="108.75" x14ac:dyDescent="0.5">
      <c r="A1" s="6" t="s">
        <v>0</v>
      </c>
      <c r="B1" s="2" t="s">
        <v>53</v>
      </c>
      <c r="C1" s="2" t="s">
        <v>21</v>
      </c>
      <c r="D1" s="2" t="s">
        <v>23</v>
      </c>
      <c r="E1" s="2" t="s">
        <v>38</v>
      </c>
      <c r="F1" s="2" t="s">
        <v>26</v>
      </c>
      <c r="G1" s="2" t="s">
        <v>1</v>
      </c>
      <c r="H1" s="2" t="s">
        <v>27</v>
      </c>
      <c r="I1" s="2" t="s">
        <v>28</v>
      </c>
      <c r="J1" s="2" t="s">
        <v>52</v>
      </c>
      <c r="K1" s="2" t="s">
        <v>39</v>
      </c>
      <c r="L1" s="2" t="s">
        <v>22</v>
      </c>
      <c r="M1" s="2" t="s">
        <v>2</v>
      </c>
      <c r="N1" s="2" t="s">
        <v>32</v>
      </c>
      <c r="O1" s="2" t="s">
        <v>31</v>
      </c>
      <c r="P1" s="2" t="s">
        <v>17</v>
      </c>
      <c r="Q1" s="2" t="s">
        <v>16</v>
      </c>
      <c r="R1" s="2" t="s">
        <v>20</v>
      </c>
      <c r="S1" s="2" t="s">
        <v>15</v>
      </c>
      <c r="T1" s="2" t="s">
        <v>18</v>
      </c>
      <c r="U1" s="2" t="s">
        <v>19</v>
      </c>
      <c r="V1" s="3" t="s">
        <v>14</v>
      </c>
      <c r="W1" s="2" t="s">
        <v>10</v>
      </c>
      <c r="X1" s="2" t="s">
        <v>11</v>
      </c>
      <c r="Y1" s="2" t="s">
        <v>12</v>
      </c>
      <c r="Z1" s="2" t="s">
        <v>13</v>
      </c>
      <c r="AA1" s="4" t="s">
        <v>64</v>
      </c>
      <c r="AB1" s="44" t="s">
        <v>58</v>
      </c>
      <c r="AC1" s="44" t="s">
        <v>59</v>
      </c>
      <c r="AD1" s="44" t="s">
        <v>60</v>
      </c>
      <c r="AE1" s="44" t="s">
        <v>61</v>
      </c>
      <c r="AF1" s="44" t="s">
        <v>62</v>
      </c>
      <c r="AG1" s="44" t="s">
        <v>63</v>
      </c>
      <c r="AH1" s="4" t="s">
        <v>25</v>
      </c>
      <c r="AI1" s="4" t="s">
        <v>6</v>
      </c>
      <c r="AJ1" s="4" t="s">
        <v>7</v>
      </c>
      <c r="AK1" s="4" t="s">
        <v>8</v>
      </c>
      <c r="AL1" s="4" t="s">
        <v>9</v>
      </c>
      <c r="AM1" s="19" t="s">
        <v>3</v>
      </c>
      <c r="AN1" s="4" t="s">
        <v>4</v>
      </c>
      <c r="AO1" s="2" t="s">
        <v>5</v>
      </c>
      <c r="AP1" s="2" t="s">
        <v>30</v>
      </c>
    </row>
    <row r="2" spans="1:42" s="5" customFormat="1" ht="21.75" customHeight="1" x14ac:dyDescent="0.5">
      <c r="A2" s="48">
        <v>1</v>
      </c>
      <c r="B2" s="48">
        <v>0</v>
      </c>
      <c r="C2" s="49" t="str">
        <f>'اطلاعات سال 1403'!B3</f>
        <v xml:space="preserve">آرمین علیزاده </v>
      </c>
      <c r="D2" s="20">
        <f>'اطلاعات سال 1403'!E3</f>
        <v>13510535</v>
      </c>
      <c r="E2" s="20">
        <f>'اطلاعات سال 1403'!F3</f>
        <v>186400</v>
      </c>
      <c r="F2" s="20">
        <f>D2+E2</f>
        <v>13696935</v>
      </c>
      <c r="G2" s="20">
        <v>31</v>
      </c>
      <c r="H2" s="20">
        <f>D2*G2</f>
        <v>418826585</v>
      </c>
      <c r="I2" s="21">
        <f>F2*G2</f>
        <v>424604985</v>
      </c>
      <c r="J2" s="20">
        <v>2</v>
      </c>
      <c r="K2" s="20">
        <f>IF(J2=1,0,IF(J2=2,5000000*G2/D$18,0))</f>
        <v>5000000</v>
      </c>
      <c r="L2" s="20">
        <v>0</v>
      </c>
      <c r="M2" s="20">
        <f>ROUNDUP(L2*3463656*3*G2/D$18,0)</f>
        <v>0</v>
      </c>
      <c r="N2" s="20">
        <f>ROUND(IF(G2&gt;0,9000000*G2/D$18,0),0)</f>
        <v>9000000</v>
      </c>
      <c r="O2" s="20">
        <f>ROUND(IF(G2&gt;0,22000000*G2/D$18,0),0)</f>
        <v>22000000</v>
      </c>
      <c r="P2" s="20">
        <f>ROUNDUP(MIN(3*3463656*30*B2/365,(F2*2*30)*B2/365),0)</f>
        <v>0</v>
      </c>
      <c r="Q2" s="20">
        <f>F2*30*B2/365</f>
        <v>0</v>
      </c>
      <c r="R2" s="20">
        <v>0</v>
      </c>
      <c r="S2" s="20"/>
      <c r="T2" s="20"/>
      <c r="U2" s="20"/>
      <c r="V2" s="20"/>
      <c r="W2" s="50">
        <f>I2+M2+N2+K2+O2</f>
        <v>460604985</v>
      </c>
      <c r="X2" s="50">
        <f>W2+R2+S2+T2</f>
        <v>460604985</v>
      </c>
      <c r="Y2" s="50">
        <f>N2+O2+K2</f>
        <v>36000000</v>
      </c>
      <c r="Z2" s="50">
        <f>IF(I2+K2+N2+O2+T2+R2&lt;3463656*G2*7,I2+N2+O2+T2+R2+K2,G2*3463656*7)</f>
        <v>460604985</v>
      </c>
      <c r="AA2" s="50">
        <f>I2+R2-U2+M2+O2+K2+N2-AI2</f>
        <v>428362637</v>
      </c>
      <c r="AB2" s="45">
        <f>AA2-M2-K2-N2-R2-O2-T2</f>
        <v>392362637</v>
      </c>
      <c r="AC2" s="20">
        <f>AA2-AB2</f>
        <v>36000000</v>
      </c>
      <c r="AD2" s="45">
        <f>IFERROR(240000000*(AB2/(AB2+AC2)),0)+IF(P2&gt;240000000,P2-240000000,0)</f>
        <v>219830173.65727907</v>
      </c>
      <c r="AE2" s="45">
        <f>IFERROR(240000000*(AC2/(AB2+AC2)),0)</f>
        <v>20169826.342720922</v>
      </c>
      <c r="AF2" s="45">
        <f>MAX(ROUND(AB2-AD2,0),0)</f>
        <v>172532463</v>
      </c>
      <c r="AG2" s="45">
        <f>MAX(ROUND(AC2-AE2,0),0)+IF(P2&gt;240000000,P2-240000000,0)</f>
        <v>15830174</v>
      </c>
      <c r="AH2" s="50">
        <f>I2+M2+N2+S2+T2+R2+O2+K2</f>
        <v>460604985</v>
      </c>
      <c r="AI2" s="50">
        <f>ROUNDDOWN(Z2*0.07,0)</f>
        <v>32242348</v>
      </c>
      <c r="AJ2" s="50">
        <f>ROUNDUP(Z2*0.2,0)</f>
        <v>92120997</v>
      </c>
      <c r="AK2" s="50">
        <f>ROUNDUP(Z2*0.03,0)</f>
        <v>13818150</v>
      </c>
      <c r="AL2" s="50">
        <f>AI2+AJ2+AK2</f>
        <v>138181495</v>
      </c>
      <c r="AM2" s="22">
        <f>IF(AB2+AC2&gt;240000000,
    ROUND(
        MAX(0, MIN(AF2,60000000))*10% +
        MAX(0, MIN(AF2-60000000,80000000))*15% +
        MAX(0, MIN(AF2-140000000,120000000))*20% +
        MAX(0, MIN(AF2-260000000,166666660))*25% +
        MAX(0, AF2-426666660)*30%,
    0),
0)+(AG2*10%)</f>
        <v>26089510.399999999</v>
      </c>
      <c r="AN2" s="50">
        <f>AM2+AI2+V2+U2</f>
        <v>58331858.399999999</v>
      </c>
      <c r="AO2" s="20">
        <f>AH2+P2+Q2-AN2</f>
        <v>402273126.60000002</v>
      </c>
      <c r="AP2" s="51">
        <f>IF(F2&gt;0,240000000+AI2+U2,0)</f>
        <v>272242348</v>
      </c>
    </row>
    <row r="3" spans="1:42" s="5" customFormat="1" ht="24.95" customHeight="1" x14ac:dyDescent="0.5">
      <c r="A3" s="48">
        <v>2</v>
      </c>
      <c r="B3" s="48"/>
      <c r="C3" s="49" t="str">
        <f>'اطلاعات سال 1403'!B4</f>
        <v xml:space="preserve">مهیا سلطانی </v>
      </c>
      <c r="D3" s="20">
        <f>'اطلاعات سال 1403'!E4</f>
        <v>3463655.96</v>
      </c>
      <c r="E3" s="20">
        <f>'اطلاعات سال 1403'!F4</f>
        <v>561017</v>
      </c>
      <c r="F3" s="20">
        <f>D3+E3</f>
        <v>4024672.96</v>
      </c>
      <c r="G3" s="20">
        <v>31</v>
      </c>
      <c r="H3" s="20">
        <f>D3*G3</f>
        <v>107373334.76000001</v>
      </c>
      <c r="I3" s="21">
        <f>F3*G3</f>
        <v>124764861.76000001</v>
      </c>
      <c r="J3" s="20">
        <v>2</v>
      </c>
      <c r="K3" s="20">
        <f>IF(J3=1,0,IF(J3=2,5000000*G3/D$18,0))</f>
        <v>5000000</v>
      </c>
      <c r="L3" s="20"/>
      <c r="M3" s="20">
        <f>ROUNDUP(L3*3463656*3*G3/D$18,0)</f>
        <v>0</v>
      </c>
      <c r="N3" s="20">
        <f>ROUND(IF(G3&gt;0,9000000*G3/D$18,0),0)</f>
        <v>9000000</v>
      </c>
      <c r="O3" s="20">
        <f>ROUND(IF(G3&gt;0,22000000*G3/D$18,0),0)</f>
        <v>22000000</v>
      </c>
      <c r="P3" s="20">
        <f>ROUNDUP(MIN(3*3463656*30*B3/365,(F3*2*30)*B3/365),0)</f>
        <v>0</v>
      </c>
      <c r="Q3" s="20">
        <f>F3*30*B3/365</f>
        <v>0</v>
      </c>
      <c r="R3" s="20"/>
      <c r="S3" s="20"/>
      <c r="T3" s="20"/>
      <c r="U3" s="20"/>
      <c r="V3" s="20"/>
      <c r="W3" s="50">
        <f t="shared" ref="W3:W16" si="0">I3+M3+N3+K3+O3</f>
        <v>160764861.75999999</v>
      </c>
      <c r="X3" s="50">
        <f t="shared" ref="X3:X16" si="1">W3+R3+S3+T3</f>
        <v>160764861.75999999</v>
      </c>
      <c r="Y3" s="50">
        <f t="shared" ref="Y3:Y16" si="2">N3+O3+K3</f>
        <v>36000000</v>
      </c>
      <c r="Z3" s="50">
        <f t="shared" ref="Z3:Z16" si="3">IF(I3+K3+N3+O3+T3+R3&lt;3463656*G3*7,I3+N3+O3+T3+R3+K3,G3*3463656*7)</f>
        <v>160764861.75999999</v>
      </c>
      <c r="AA3" s="50">
        <f t="shared" ref="AA3:AA16" si="4">I3+R3-U3+M3+O3+K3+N3-AI3</f>
        <v>149511321.75999999</v>
      </c>
      <c r="AB3" s="45">
        <f t="shared" ref="AB3:AB16" si="5">AA3-M3-K3-N3-R3-O3-T3</f>
        <v>113511321.75999999</v>
      </c>
      <c r="AC3" s="20">
        <f t="shared" ref="AC3:AC16" si="6">AA3-AB3</f>
        <v>36000000</v>
      </c>
      <c r="AD3" s="45">
        <f t="shared" ref="AD3:AD16" si="7">IFERROR(240000000*(AB3/(AB3+AC3)),0)+IF(P3&gt;240000000,P3-240000000,0)</f>
        <v>182211734.21321777</v>
      </c>
      <c r="AE3" s="45">
        <f t="shared" ref="AE3:AE16" si="8">IFERROR(240000000*(AC3/(AB3+AC3)),0)</f>
        <v>57788265.78678225</v>
      </c>
      <c r="AF3" s="45">
        <f t="shared" ref="AF3:AF16" si="9">MAX(ROUND(AB3-AD3,0),0)</f>
        <v>0</v>
      </c>
      <c r="AG3" s="45">
        <f t="shared" ref="AG3:AG16" si="10">MAX(ROUND(AC3-AE3,0),0)+IF(P3&gt;240000000,P3-240000000,0)</f>
        <v>0</v>
      </c>
      <c r="AH3" s="50">
        <f t="shared" ref="AH3:AH16" si="11">I3+M3+N3+S3+T3+R3+O3+K3</f>
        <v>160764861.75999999</v>
      </c>
      <c r="AI3" s="50">
        <f t="shared" ref="AI3:AI16" si="12">ROUNDDOWN(Z3*0.07,0)</f>
        <v>11253540</v>
      </c>
      <c r="AJ3" s="50">
        <f t="shared" ref="AJ3:AJ16" si="13">ROUNDUP(Z3*0.2,0)</f>
        <v>32152973</v>
      </c>
      <c r="AK3" s="50">
        <f t="shared" ref="AK3:AK16" si="14">ROUNDUP(Z3*0.03,0)</f>
        <v>4822946</v>
      </c>
      <c r="AL3" s="50">
        <f t="shared" ref="AL3:AL16" si="15">AI3+AJ3+AK3</f>
        <v>48229459</v>
      </c>
      <c r="AM3" s="22">
        <f t="shared" ref="AM3:AM16" si="16">IF(AB3+AC3&gt;240000000,
    ROUND(
        MAX(0, MIN(AF3,60000000))*10% +
        MAX(0, MIN(AF3-60000000,80000000))*15% +
        MAX(0, MIN(AF3-140000000,120000000))*20% +
        MAX(0, MIN(AF3-260000000,166666660))*25% +
        MAX(0, AF3-426666660)*30%,
    0),
0)+(AG3*10%)</f>
        <v>0</v>
      </c>
      <c r="AN3" s="50">
        <f t="shared" ref="AN3:AN16" si="17">AM3+AI3+V3+U3</f>
        <v>11253540</v>
      </c>
      <c r="AO3" s="20">
        <f t="shared" ref="AO3:AO16" si="18">AH3+P3+Q3-AN3</f>
        <v>149511321.75999999</v>
      </c>
      <c r="AP3" s="51">
        <f>IF(F3&gt;0,240000000+AI3+U3,0)</f>
        <v>251253540</v>
      </c>
    </row>
    <row r="4" spans="1:42" s="5" customFormat="1" ht="22.5" customHeight="1" x14ac:dyDescent="0.5">
      <c r="A4" s="48">
        <v>3</v>
      </c>
      <c r="B4" s="48"/>
      <c r="C4" s="49">
        <f>'اطلاعات سال 1403'!B5</f>
        <v>0</v>
      </c>
      <c r="D4" s="20">
        <f>'اطلاعات سال 1403'!E5</f>
        <v>0</v>
      </c>
      <c r="E4" s="20">
        <f>'اطلاعات سال 1403'!F5</f>
        <v>673958</v>
      </c>
      <c r="F4" s="20">
        <f>D4+E4</f>
        <v>673958</v>
      </c>
      <c r="G4" s="20"/>
      <c r="H4" s="20">
        <f>D4*G4</f>
        <v>0</v>
      </c>
      <c r="I4" s="21">
        <f>F4*G4</f>
        <v>0</v>
      </c>
      <c r="J4" s="20"/>
      <c r="K4" s="20">
        <f>IF(J4=1,0,IF(J4=2,5000000*G4/D$18,0))</f>
        <v>0</v>
      </c>
      <c r="L4" s="20"/>
      <c r="M4" s="20">
        <f>ROUNDUP(L4*3463656*3*G4/D$18,0)</f>
        <v>0</v>
      </c>
      <c r="N4" s="20">
        <f>ROUND(IF(G4&gt;0,9000000*G4/D$18,0),0)</f>
        <v>0</v>
      </c>
      <c r="O4" s="20">
        <f>ROUND(IF(G4&gt;0,22000000*G4/D$18,0),0)</f>
        <v>0</v>
      </c>
      <c r="P4" s="20">
        <f>ROUNDUP(MIN(3*3463656*30*B4/365,(F4*2*30)*B4/365),0)</f>
        <v>0</v>
      </c>
      <c r="Q4" s="20">
        <f>F4*30*B4/365</f>
        <v>0</v>
      </c>
      <c r="R4" s="20"/>
      <c r="S4" s="20"/>
      <c r="T4" s="20"/>
      <c r="U4" s="20"/>
      <c r="V4" s="20"/>
      <c r="W4" s="50">
        <f t="shared" si="0"/>
        <v>0</v>
      </c>
      <c r="X4" s="50">
        <f t="shared" si="1"/>
        <v>0</v>
      </c>
      <c r="Y4" s="50">
        <f t="shared" si="2"/>
        <v>0</v>
      </c>
      <c r="Z4" s="50">
        <f t="shared" si="3"/>
        <v>0</v>
      </c>
      <c r="AA4" s="50">
        <f t="shared" si="4"/>
        <v>0</v>
      </c>
      <c r="AB4" s="45">
        <f t="shared" si="5"/>
        <v>0</v>
      </c>
      <c r="AC4" s="20">
        <f t="shared" si="6"/>
        <v>0</v>
      </c>
      <c r="AD4" s="45">
        <f t="shared" si="7"/>
        <v>0</v>
      </c>
      <c r="AE4" s="45">
        <f t="shared" si="8"/>
        <v>0</v>
      </c>
      <c r="AF4" s="45">
        <f t="shared" si="9"/>
        <v>0</v>
      </c>
      <c r="AG4" s="45">
        <f t="shared" si="10"/>
        <v>0</v>
      </c>
      <c r="AH4" s="50">
        <f t="shared" si="11"/>
        <v>0</v>
      </c>
      <c r="AI4" s="50">
        <f t="shared" si="12"/>
        <v>0</v>
      </c>
      <c r="AJ4" s="50">
        <f t="shared" si="13"/>
        <v>0</v>
      </c>
      <c r="AK4" s="50">
        <f t="shared" si="14"/>
        <v>0</v>
      </c>
      <c r="AL4" s="50">
        <f t="shared" si="15"/>
        <v>0</v>
      </c>
      <c r="AM4" s="22">
        <f t="shared" si="16"/>
        <v>0</v>
      </c>
      <c r="AN4" s="50">
        <f t="shared" si="17"/>
        <v>0</v>
      </c>
      <c r="AO4" s="20">
        <f t="shared" si="18"/>
        <v>0</v>
      </c>
      <c r="AP4" s="51">
        <f>IF(F4&gt;0,240000000+AI4+U4,0)</f>
        <v>240000000</v>
      </c>
    </row>
    <row r="5" spans="1:42" s="5" customFormat="1" x14ac:dyDescent="0.5">
      <c r="A5" s="48">
        <v>4</v>
      </c>
      <c r="B5" s="48"/>
      <c r="C5" s="49">
        <f>'اطلاعات سال 1403'!B6</f>
        <v>0</v>
      </c>
      <c r="D5" s="20">
        <f>'اطلاعات سال 1403'!E6</f>
        <v>0</v>
      </c>
      <c r="E5" s="20">
        <f>'اطلاعات سال 1403'!F6</f>
        <v>764873</v>
      </c>
      <c r="F5" s="20">
        <f>D5+E5</f>
        <v>764873</v>
      </c>
      <c r="G5" s="20"/>
      <c r="H5" s="20">
        <f>D5*G5</f>
        <v>0</v>
      </c>
      <c r="I5" s="21">
        <f>F5*G5</f>
        <v>0</v>
      </c>
      <c r="J5" s="20"/>
      <c r="K5" s="20">
        <f>IF(J5=1,0,IF(J5=2,5000000*G5/D$18,0))</f>
        <v>0</v>
      </c>
      <c r="L5" s="20"/>
      <c r="M5" s="20">
        <f>ROUNDUP(L5*3463656*3*G5/D$18,0)</f>
        <v>0</v>
      </c>
      <c r="N5" s="20">
        <f>ROUND(IF(G5&gt;0,9000000*G5/D$18,0),0)</f>
        <v>0</v>
      </c>
      <c r="O5" s="20">
        <f>ROUND(IF(G5&gt;0,22000000*G5/D$18,0),0)</f>
        <v>0</v>
      </c>
      <c r="P5" s="20">
        <f>ROUNDUP(MIN(3*3463656*30*B5/365,(F5*2*30)*B5/365),0)</f>
        <v>0</v>
      </c>
      <c r="Q5" s="20">
        <f>F5*30*B5/365</f>
        <v>0</v>
      </c>
      <c r="R5" s="20"/>
      <c r="S5" s="20"/>
      <c r="T5" s="20"/>
      <c r="U5" s="20"/>
      <c r="V5" s="20"/>
      <c r="W5" s="50">
        <f t="shared" si="0"/>
        <v>0</v>
      </c>
      <c r="X5" s="50">
        <f t="shared" si="1"/>
        <v>0</v>
      </c>
      <c r="Y5" s="50">
        <f t="shared" si="2"/>
        <v>0</v>
      </c>
      <c r="Z5" s="50">
        <f t="shared" si="3"/>
        <v>0</v>
      </c>
      <c r="AA5" s="50">
        <f t="shared" si="4"/>
        <v>0</v>
      </c>
      <c r="AB5" s="45">
        <f t="shared" si="5"/>
        <v>0</v>
      </c>
      <c r="AC5" s="20">
        <f t="shared" si="6"/>
        <v>0</v>
      </c>
      <c r="AD5" s="45">
        <f t="shared" si="7"/>
        <v>0</v>
      </c>
      <c r="AE5" s="45">
        <f t="shared" si="8"/>
        <v>0</v>
      </c>
      <c r="AF5" s="45">
        <f t="shared" si="9"/>
        <v>0</v>
      </c>
      <c r="AG5" s="45">
        <f t="shared" si="10"/>
        <v>0</v>
      </c>
      <c r="AH5" s="50">
        <f t="shared" si="11"/>
        <v>0</v>
      </c>
      <c r="AI5" s="50">
        <f t="shared" si="12"/>
        <v>0</v>
      </c>
      <c r="AJ5" s="50">
        <f t="shared" si="13"/>
        <v>0</v>
      </c>
      <c r="AK5" s="50">
        <f t="shared" si="14"/>
        <v>0</v>
      </c>
      <c r="AL5" s="50">
        <f t="shared" si="15"/>
        <v>0</v>
      </c>
      <c r="AM5" s="22">
        <f t="shared" si="16"/>
        <v>0</v>
      </c>
      <c r="AN5" s="50">
        <f t="shared" si="17"/>
        <v>0</v>
      </c>
      <c r="AO5" s="20">
        <f t="shared" si="18"/>
        <v>0</v>
      </c>
      <c r="AP5" s="51">
        <f>IF(F5&gt;0,240000000+AI5+U5,0)</f>
        <v>240000000</v>
      </c>
    </row>
    <row r="6" spans="1:42" s="5" customFormat="1" x14ac:dyDescent="0.5">
      <c r="A6" s="48">
        <v>5</v>
      </c>
      <c r="B6" s="48"/>
      <c r="C6" s="49">
        <f>'اطلاعات سال 1403'!B7</f>
        <v>0</v>
      </c>
      <c r="D6" s="20">
        <f>'اطلاعات سال 1403'!E7</f>
        <v>0</v>
      </c>
      <c r="E6" s="20">
        <f>'اطلاعات سال 1403'!F7</f>
        <v>839722</v>
      </c>
      <c r="F6" s="20">
        <f>D6+E6</f>
        <v>839722</v>
      </c>
      <c r="G6" s="20"/>
      <c r="H6" s="20">
        <f>D6*G6</f>
        <v>0</v>
      </c>
      <c r="I6" s="21">
        <f>F6*G6</f>
        <v>0</v>
      </c>
      <c r="J6" s="20"/>
      <c r="K6" s="20">
        <f>IF(J6=1,0,IF(J6=2,5000000*G6/D$18,0))</f>
        <v>0</v>
      </c>
      <c r="L6" s="20"/>
      <c r="M6" s="20">
        <f>ROUNDUP(L6*3463656*3*G6/D$18,0)</f>
        <v>0</v>
      </c>
      <c r="N6" s="20">
        <f>ROUND(IF(G6&gt;0,9000000*G6/D$18,0),0)</f>
        <v>0</v>
      </c>
      <c r="O6" s="20">
        <f>ROUND(IF(G6&gt;0,22000000*G6/D$18,0),0)</f>
        <v>0</v>
      </c>
      <c r="P6" s="20">
        <f>ROUNDUP(MIN(3*3463656*30*B6/365,(F6*2*30)*B6/365),0)</f>
        <v>0</v>
      </c>
      <c r="Q6" s="20">
        <f>F6*30*B6/365</f>
        <v>0</v>
      </c>
      <c r="R6" s="20"/>
      <c r="S6" s="20"/>
      <c r="T6" s="20"/>
      <c r="U6" s="20"/>
      <c r="V6" s="20"/>
      <c r="W6" s="50">
        <f t="shared" si="0"/>
        <v>0</v>
      </c>
      <c r="X6" s="50">
        <f t="shared" si="1"/>
        <v>0</v>
      </c>
      <c r="Y6" s="50">
        <f t="shared" si="2"/>
        <v>0</v>
      </c>
      <c r="Z6" s="50">
        <f t="shared" si="3"/>
        <v>0</v>
      </c>
      <c r="AA6" s="50">
        <f t="shared" si="4"/>
        <v>0</v>
      </c>
      <c r="AB6" s="45">
        <f t="shared" si="5"/>
        <v>0</v>
      </c>
      <c r="AC6" s="20">
        <f t="shared" si="6"/>
        <v>0</v>
      </c>
      <c r="AD6" s="45">
        <f t="shared" si="7"/>
        <v>0</v>
      </c>
      <c r="AE6" s="45">
        <f t="shared" si="8"/>
        <v>0</v>
      </c>
      <c r="AF6" s="45">
        <f t="shared" si="9"/>
        <v>0</v>
      </c>
      <c r="AG6" s="45">
        <f t="shared" si="10"/>
        <v>0</v>
      </c>
      <c r="AH6" s="50">
        <f t="shared" si="11"/>
        <v>0</v>
      </c>
      <c r="AI6" s="50">
        <f t="shared" si="12"/>
        <v>0</v>
      </c>
      <c r="AJ6" s="50">
        <f t="shared" si="13"/>
        <v>0</v>
      </c>
      <c r="AK6" s="50">
        <f t="shared" si="14"/>
        <v>0</v>
      </c>
      <c r="AL6" s="50">
        <f t="shared" si="15"/>
        <v>0</v>
      </c>
      <c r="AM6" s="22">
        <f t="shared" si="16"/>
        <v>0</v>
      </c>
      <c r="AN6" s="50">
        <f t="shared" si="17"/>
        <v>0</v>
      </c>
      <c r="AO6" s="20">
        <f t="shared" si="18"/>
        <v>0</v>
      </c>
      <c r="AP6" s="51">
        <f>IF(F6&gt;0,240000000+AI6+U6,0)</f>
        <v>240000000</v>
      </c>
    </row>
    <row r="7" spans="1:42" s="5" customFormat="1" x14ac:dyDescent="0.5">
      <c r="A7" s="48">
        <v>6</v>
      </c>
      <c r="B7" s="48"/>
      <c r="C7" s="49">
        <f>'اطلاعات سال 1403'!B8</f>
        <v>0</v>
      </c>
      <c r="D7" s="20">
        <f>'اطلاعات سال 1403'!E8</f>
        <v>0</v>
      </c>
      <c r="E7" s="20">
        <f>'اطلاعات سال 1403'!F8</f>
        <v>94000</v>
      </c>
      <c r="F7" s="20">
        <f>D7+E7</f>
        <v>94000</v>
      </c>
      <c r="G7" s="20"/>
      <c r="H7" s="20">
        <f>D7*G7</f>
        <v>0</v>
      </c>
      <c r="I7" s="21">
        <f>F7*G7</f>
        <v>0</v>
      </c>
      <c r="J7" s="20"/>
      <c r="K7" s="20">
        <f>IF(J7=1,0,IF(J7=2,5000000*G7/D$18,0))</f>
        <v>0</v>
      </c>
      <c r="L7" s="20"/>
      <c r="M7" s="20">
        <f>ROUNDUP(L7*3463656*3*G7/D$18,0)</f>
        <v>0</v>
      </c>
      <c r="N7" s="20">
        <f>ROUND(IF(G7&gt;0,9000000*G7/D$18,0),0)</f>
        <v>0</v>
      </c>
      <c r="O7" s="20">
        <f>ROUND(IF(G7&gt;0,22000000*G7/D$18,0),0)</f>
        <v>0</v>
      </c>
      <c r="P7" s="20">
        <f>ROUNDUP(MIN(3*3463656*30*B7/365,(F7*2*30)*B7/365),0)</f>
        <v>0</v>
      </c>
      <c r="Q7" s="20">
        <f>F7*30*B7/365</f>
        <v>0</v>
      </c>
      <c r="R7" s="20"/>
      <c r="S7" s="20"/>
      <c r="T7" s="20"/>
      <c r="U7" s="20"/>
      <c r="V7" s="20"/>
      <c r="W7" s="50">
        <f t="shared" si="0"/>
        <v>0</v>
      </c>
      <c r="X7" s="50">
        <f t="shared" si="1"/>
        <v>0</v>
      </c>
      <c r="Y7" s="50">
        <f t="shared" si="2"/>
        <v>0</v>
      </c>
      <c r="Z7" s="50">
        <f t="shared" si="3"/>
        <v>0</v>
      </c>
      <c r="AA7" s="50">
        <f t="shared" si="4"/>
        <v>0</v>
      </c>
      <c r="AB7" s="45">
        <f t="shared" si="5"/>
        <v>0</v>
      </c>
      <c r="AC7" s="20">
        <f t="shared" si="6"/>
        <v>0</v>
      </c>
      <c r="AD7" s="45">
        <f t="shared" si="7"/>
        <v>0</v>
      </c>
      <c r="AE7" s="45">
        <f t="shared" si="8"/>
        <v>0</v>
      </c>
      <c r="AF7" s="45">
        <f t="shared" si="9"/>
        <v>0</v>
      </c>
      <c r="AG7" s="45">
        <f t="shared" si="10"/>
        <v>0</v>
      </c>
      <c r="AH7" s="50">
        <f t="shared" si="11"/>
        <v>0</v>
      </c>
      <c r="AI7" s="50">
        <f t="shared" si="12"/>
        <v>0</v>
      </c>
      <c r="AJ7" s="50">
        <f t="shared" si="13"/>
        <v>0</v>
      </c>
      <c r="AK7" s="50">
        <f t="shared" si="14"/>
        <v>0</v>
      </c>
      <c r="AL7" s="50">
        <f t="shared" si="15"/>
        <v>0</v>
      </c>
      <c r="AM7" s="22">
        <f t="shared" si="16"/>
        <v>0</v>
      </c>
      <c r="AN7" s="50">
        <f t="shared" si="17"/>
        <v>0</v>
      </c>
      <c r="AO7" s="20">
        <f t="shared" si="18"/>
        <v>0</v>
      </c>
      <c r="AP7" s="51">
        <f>IF(F7&gt;0,240000000+AI7+U7,0)</f>
        <v>240000000</v>
      </c>
    </row>
    <row r="8" spans="1:42" s="5" customFormat="1" x14ac:dyDescent="0.5">
      <c r="A8" s="48">
        <v>7</v>
      </c>
      <c r="B8" s="48"/>
      <c r="C8" s="49">
        <f>'اطلاعات سال 1403'!B9</f>
        <v>0</v>
      </c>
      <c r="D8" s="20">
        <f>'اطلاعات سال 1403'!E9</f>
        <v>0</v>
      </c>
      <c r="E8" s="20">
        <f>'اطلاعات سال 1403'!F9</f>
        <v>0</v>
      </c>
      <c r="F8" s="20">
        <f>D8+E8</f>
        <v>0</v>
      </c>
      <c r="G8" s="20"/>
      <c r="H8" s="20">
        <f>D8*G8</f>
        <v>0</v>
      </c>
      <c r="I8" s="21">
        <f>F8*G8</f>
        <v>0</v>
      </c>
      <c r="J8" s="20"/>
      <c r="K8" s="20">
        <f>IF(J8=1,0,IF(J8=2,5000000*G8/D$18,0))</f>
        <v>0</v>
      </c>
      <c r="L8" s="20"/>
      <c r="M8" s="20">
        <f>ROUNDUP(L8*3463656*3*G8/D$18,0)</f>
        <v>0</v>
      </c>
      <c r="N8" s="20">
        <f>ROUND(IF(G8&gt;0,9000000*G8/D$18,0),0)</f>
        <v>0</v>
      </c>
      <c r="O8" s="20">
        <f>ROUND(IF(G8&gt;0,22000000*G8/D$18,0),0)</f>
        <v>0</v>
      </c>
      <c r="P8" s="20">
        <f>ROUNDUP(MIN(3*3463656*30*B8/365,(F8*2*30)*B8/365),0)</f>
        <v>0</v>
      </c>
      <c r="Q8" s="20">
        <f>F8*30*B8/365</f>
        <v>0</v>
      </c>
      <c r="R8" s="20"/>
      <c r="S8" s="20"/>
      <c r="T8" s="20"/>
      <c r="U8" s="20"/>
      <c r="V8" s="20"/>
      <c r="W8" s="50">
        <f t="shared" si="0"/>
        <v>0</v>
      </c>
      <c r="X8" s="50">
        <f t="shared" si="1"/>
        <v>0</v>
      </c>
      <c r="Y8" s="50">
        <f t="shared" si="2"/>
        <v>0</v>
      </c>
      <c r="Z8" s="50">
        <f t="shared" si="3"/>
        <v>0</v>
      </c>
      <c r="AA8" s="50">
        <f t="shared" si="4"/>
        <v>0</v>
      </c>
      <c r="AB8" s="45">
        <f t="shared" si="5"/>
        <v>0</v>
      </c>
      <c r="AC8" s="20">
        <f t="shared" si="6"/>
        <v>0</v>
      </c>
      <c r="AD8" s="45">
        <f t="shared" si="7"/>
        <v>0</v>
      </c>
      <c r="AE8" s="45">
        <f t="shared" si="8"/>
        <v>0</v>
      </c>
      <c r="AF8" s="45">
        <f t="shared" si="9"/>
        <v>0</v>
      </c>
      <c r="AG8" s="45">
        <f t="shared" si="10"/>
        <v>0</v>
      </c>
      <c r="AH8" s="50">
        <f t="shared" si="11"/>
        <v>0</v>
      </c>
      <c r="AI8" s="50">
        <f t="shared" si="12"/>
        <v>0</v>
      </c>
      <c r="AJ8" s="50">
        <f t="shared" si="13"/>
        <v>0</v>
      </c>
      <c r="AK8" s="50">
        <f t="shared" si="14"/>
        <v>0</v>
      </c>
      <c r="AL8" s="50">
        <f t="shared" si="15"/>
        <v>0</v>
      </c>
      <c r="AM8" s="22">
        <f t="shared" si="16"/>
        <v>0</v>
      </c>
      <c r="AN8" s="50">
        <f t="shared" si="17"/>
        <v>0</v>
      </c>
      <c r="AO8" s="20">
        <f t="shared" si="18"/>
        <v>0</v>
      </c>
      <c r="AP8" s="51">
        <f>IF(F8&gt;0,240000000+AI8+U8,0)</f>
        <v>0</v>
      </c>
    </row>
    <row r="9" spans="1:42" s="5" customFormat="1" x14ac:dyDescent="0.5">
      <c r="A9" s="48">
        <v>8</v>
      </c>
      <c r="B9" s="48"/>
      <c r="C9" s="49">
        <f>'اطلاعات سال 1403'!B10</f>
        <v>0</v>
      </c>
      <c r="D9" s="20">
        <f>'اطلاعات سال 1403'!E10</f>
        <v>0</v>
      </c>
      <c r="E9" s="20">
        <f>'اطلاعات سال 1403'!F10</f>
        <v>0</v>
      </c>
      <c r="F9" s="20">
        <f>D9+E9</f>
        <v>0</v>
      </c>
      <c r="G9" s="20"/>
      <c r="H9" s="20">
        <f>D9*G9</f>
        <v>0</v>
      </c>
      <c r="I9" s="21">
        <f>F9*G9</f>
        <v>0</v>
      </c>
      <c r="J9" s="20"/>
      <c r="K9" s="20">
        <f>IF(J9=1,0,IF(J9=2,5000000*G9/D$18,0))</f>
        <v>0</v>
      </c>
      <c r="L9" s="20"/>
      <c r="M9" s="20">
        <f>ROUNDUP(L9*3463656*3*G9/D$18,0)</f>
        <v>0</v>
      </c>
      <c r="N9" s="20">
        <f>ROUND(IF(G9&gt;0,9000000*G9/D$18,0),0)</f>
        <v>0</v>
      </c>
      <c r="O9" s="20">
        <f>ROUND(IF(G9&gt;0,22000000*G9/D$18,0),0)</f>
        <v>0</v>
      </c>
      <c r="P9" s="20">
        <f>ROUNDUP(MIN(3*3463656*30*B9/365,(F9*2*30)*B9/365),0)</f>
        <v>0</v>
      </c>
      <c r="Q9" s="20">
        <f>F9*30*B9/365</f>
        <v>0</v>
      </c>
      <c r="R9" s="20"/>
      <c r="S9" s="20"/>
      <c r="T9" s="20"/>
      <c r="U9" s="20"/>
      <c r="V9" s="20"/>
      <c r="W9" s="50">
        <f t="shared" si="0"/>
        <v>0</v>
      </c>
      <c r="X9" s="50">
        <f t="shared" si="1"/>
        <v>0</v>
      </c>
      <c r="Y9" s="50">
        <f t="shared" si="2"/>
        <v>0</v>
      </c>
      <c r="Z9" s="50">
        <f t="shared" si="3"/>
        <v>0</v>
      </c>
      <c r="AA9" s="50">
        <f t="shared" si="4"/>
        <v>0</v>
      </c>
      <c r="AB9" s="45">
        <f t="shared" si="5"/>
        <v>0</v>
      </c>
      <c r="AC9" s="20">
        <f t="shared" si="6"/>
        <v>0</v>
      </c>
      <c r="AD9" s="45">
        <f t="shared" si="7"/>
        <v>0</v>
      </c>
      <c r="AE9" s="45">
        <f t="shared" si="8"/>
        <v>0</v>
      </c>
      <c r="AF9" s="45">
        <f t="shared" si="9"/>
        <v>0</v>
      </c>
      <c r="AG9" s="45">
        <f t="shared" si="10"/>
        <v>0</v>
      </c>
      <c r="AH9" s="50">
        <f t="shared" si="11"/>
        <v>0</v>
      </c>
      <c r="AI9" s="50">
        <f t="shared" si="12"/>
        <v>0</v>
      </c>
      <c r="AJ9" s="50">
        <f t="shared" si="13"/>
        <v>0</v>
      </c>
      <c r="AK9" s="50">
        <f t="shared" si="14"/>
        <v>0</v>
      </c>
      <c r="AL9" s="50">
        <f t="shared" si="15"/>
        <v>0</v>
      </c>
      <c r="AM9" s="22">
        <f t="shared" si="16"/>
        <v>0</v>
      </c>
      <c r="AN9" s="50">
        <f t="shared" si="17"/>
        <v>0</v>
      </c>
      <c r="AO9" s="20">
        <f t="shared" si="18"/>
        <v>0</v>
      </c>
      <c r="AP9" s="51">
        <f>IF(F9&gt;0,240000000+AI9+U9,0)</f>
        <v>0</v>
      </c>
    </row>
    <row r="10" spans="1:42" s="5" customFormat="1" x14ac:dyDescent="0.5">
      <c r="A10" s="48">
        <v>9</v>
      </c>
      <c r="B10" s="48"/>
      <c r="C10" s="49">
        <f>'اطلاعات سال 1403'!B11</f>
        <v>0</v>
      </c>
      <c r="D10" s="20">
        <f>'اطلاعات سال 1403'!E11</f>
        <v>0</v>
      </c>
      <c r="E10" s="20">
        <f>'اطلاعات سال 1403'!F11</f>
        <v>0</v>
      </c>
      <c r="F10" s="20">
        <f>D10+E10</f>
        <v>0</v>
      </c>
      <c r="G10" s="20"/>
      <c r="H10" s="20">
        <f>D10*G10</f>
        <v>0</v>
      </c>
      <c r="I10" s="21">
        <f>F10*G10</f>
        <v>0</v>
      </c>
      <c r="J10" s="20"/>
      <c r="K10" s="20">
        <f>IF(J10=1,0,IF(J10=2,5000000*G10/D$18,0))</f>
        <v>0</v>
      </c>
      <c r="L10" s="20"/>
      <c r="M10" s="20">
        <f>ROUNDUP(L10*3463656*3*G10/D$18,0)</f>
        <v>0</v>
      </c>
      <c r="N10" s="20">
        <f>ROUND(IF(G10&gt;0,9000000*G10/D$18,0),0)</f>
        <v>0</v>
      </c>
      <c r="O10" s="20">
        <f>ROUND(IF(G10&gt;0,22000000*G10/D$18,0),0)</f>
        <v>0</v>
      </c>
      <c r="P10" s="20">
        <f>ROUNDUP(MIN(3*3463656*30*B10/365,(F10*2*30)*B10/365),0)</f>
        <v>0</v>
      </c>
      <c r="Q10" s="20">
        <f>F10*30*B10/365</f>
        <v>0</v>
      </c>
      <c r="R10" s="20"/>
      <c r="S10" s="20"/>
      <c r="T10" s="20"/>
      <c r="U10" s="20"/>
      <c r="V10" s="20"/>
      <c r="W10" s="50">
        <f t="shared" si="0"/>
        <v>0</v>
      </c>
      <c r="X10" s="50">
        <f t="shared" si="1"/>
        <v>0</v>
      </c>
      <c r="Y10" s="50">
        <f t="shared" si="2"/>
        <v>0</v>
      </c>
      <c r="Z10" s="50">
        <f t="shared" si="3"/>
        <v>0</v>
      </c>
      <c r="AA10" s="50">
        <f t="shared" si="4"/>
        <v>0</v>
      </c>
      <c r="AB10" s="45">
        <f t="shared" si="5"/>
        <v>0</v>
      </c>
      <c r="AC10" s="20">
        <f t="shared" si="6"/>
        <v>0</v>
      </c>
      <c r="AD10" s="45">
        <f t="shared" si="7"/>
        <v>0</v>
      </c>
      <c r="AE10" s="45">
        <f t="shared" si="8"/>
        <v>0</v>
      </c>
      <c r="AF10" s="45">
        <f t="shared" si="9"/>
        <v>0</v>
      </c>
      <c r="AG10" s="45">
        <f t="shared" si="10"/>
        <v>0</v>
      </c>
      <c r="AH10" s="50">
        <f t="shared" si="11"/>
        <v>0</v>
      </c>
      <c r="AI10" s="50">
        <f t="shared" si="12"/>
        <v>0</v>
      </c>
      <c r="AJ10" s="50">
        <f t="shared" si="13"/>
        <v>0</v>
      </c>
      <c r="AK10" s="50">
        <f t="shared" si="14"/>
        <v>0</v>
      </c>
      <c r="AL10" s="50">
        <f t="shared" si="15"/>
        <v>0</v>
      </c>
      <c r="AM10" s="22">
        <f t="shared" si="16"/>
        <v>0</v>
      </c>
      <c r="AN10" s="50">
        <f t="shared" si="17"/>
        <v>0</v>
      </c>
      <c r="AO10" s="20">
        <f t="shared" si="18"/>
        <v>0</v>
      </c>
      <c r="AP10" s="51">
        <f>IF(F10&gt;0,240000000+AI10+U10,0)</f>
        <v>0</v>
      </c>
    </row>
    <row r="11" spans="1:42" s="5" customFormat="1" x14ac:dyDescent="0.5">
      <c r="A11" s="48">
        <v>10</v>
      </c>
      <c r="B11" s="48"/>
      <c r="C11" s="49">
        <f>'اطلاعات سال 1403'!B12</f>
        <v>0</v>
      </c>
      <c r="D11" s="20">
        <f>'اطلاعات سال 1403'!E12</f>
        <v>0</v>
      </c>
      <c r="E11" s="20">
        <f>'اطلاعات سال 1403'!F12</f>
        <v>0</v>
      </c>
      <c r="F11" s="20">
        <f>D11+E11</f>
        <v>0</v>
      </c>
      <c r="G11" s="20"/>
      <c r="H11" s="20">
        <f>D11*G11</f>
        <v>0</v>
      </c>
      <c r="I11" s="21">
        <f>F11*G11</f>
        <v>0</v>
      </c>
      <c r="J11" s="20"/>
      <c r="K11" s="20">
        <f>IF(J11=1,0,IF(J11=2,5000000*G11/D$18,0))</f>
        <v>0</v>
      </c>
      <c r="L11" s="20"/>
      <c r="M11" s="20">
        <f>ROUNDUP(L11*3463656*3*G11/D$18,0)</f>
        <v>0</v>
      </c>
      <c r="N11" s="20">
        <f>ROUND(IF(G11&gt;0,9000000*G11/D$18,0),0)</f>
        <v>0</v>
      </c>
      <c r="O11" s="20">
        <f>ROUND(IF(G11&gt;0,22000000*G11/D$18,0),0)</f>
        <v>0</v>
      </c>
      <c r="P11" s="20">
        <f>ROUNDUP(MIN(3*3463656*30*B11/365,(F11*2*30)*B11/365),0)</f>
        <v>0</v>
      </c>
      <c r="Q11" s="20">
        <f>F11*30*B11/365</f>
        <v>0</v>
      </c>
      <c r="R11" s="20"/>
      <c r="S11" s="20"/>
      <c r="T11" s="20"/>
      <c r="U11" s="20"/>
      <c r="V11" s="20"/>
      <c r="W11" s="50">
        <f t="shared" si="0"/>
        <v>0</v>
      </c>
      <c r="X11" s="50">
        <f t="shared" si="1"/>
        <v>0</v>
      </c>
      <c r="Y11" s="50">
        <f t="shared" si="2"/>
        <v>0</v>
      </c>
      <c r="Z11" s="50">
        <f t="shared" si="3"/>
        <v>0</v>
      </c>
      <c r="AA11" s="50">
        <f t="shared" si="4"/>
        <v>0</v>
      </c>
      <c r="AB11" s="45">
        <f t="shared" si="5"/>
        <v>0</v>
      </c>
      <c r="AC11" s="20">
        <f t="shared" si="6"/>
        <v>0</v>
      </c>
      <c r="AD11" s="45">
        <f t="shared" si="7"/>
        <v>0</v>
      </c>
      <c r="AE11" s="45">
        <f t="shared" si="8"/>
        <v>0</v>
      </c>
      <c r="AF11" s="45">
        <f t="shared" si="9"/>
        <v>0</v>
      </c>
      <c r="AG11" s="45">
        <f t="shared" si="10"/>
        <v>0</v>
      </c>
      <c r="AH11" s="50">
        <f t="shared" si="11"/>
        <v>0</v>
      </c>
      <c r="AI11" s="50">
        <f t="shared" si="12"/>
        <v>0</v>
      </c>
      <c r="AJ11" s="50">
        <f t="shared" si="13"/>
        <v>0</v>
      </c>
      <c r="AK11" s="50">
        <f t="shared" si="14"/>
        <v>0</v>
      </c>
      <c r="AL11" s="50">
        <f t="shared" si="15"/>
        <v>0</v>
      </c>
      <c r="AM11" s="22">
        <f t="shared" si="16"/>
        <v>0</v>
      </c>
      <c r="AN11" s="50">
        <f t="shared" si="17"/>
        <v>0</v>
      </c>
      <c r="AO11" s="20">
        <f t="shared" si="18"/>
        <v>0</v>
      </c>
      <c r="AP11" s="51">
        <f>IF(F11&gt;0,240000000+AI11+U11,0)</f>
        <v>0</v>
      </c>
    </row>
    <row r="12" spans="1:42" s="5" customFormat="1" x14ac:dyDescent="0.5">
      <c r="A12" s="48">
        <v>11</v>
      </c>
      <c r="B12" s="48"/>
      <c r="C12" s="49">
        <f>'اطلاعات سال 1403'!B13</f>
        <v>0</v>
      </c>
      <c r="D12" s="20">
        <f>'اطلاعات سال 1403'!E13</f>
        <v>0</v>
      </c>
      <c r="E12" s="20">
        <f>'اطلاعات سال 1403'!F13</f>
        <v>0</v>
      </c>
      <c r="F12" s="20">
        <f>D12+E12</f>
        <v>0</v>
      </c>
      <c r="G12" s="52"/>
      <c r="H12" s="20">
        <f>D12*G12</f>
        <v>0</v>
      </c>
      <c r="I12" s="21">
        <f>F12*G12</f>
        <v>0</v>
      </c>
      <c r="J12" s="20"/>
      <c r="K12" s="20">
        <f>IF(J12=1,0,IF(J12=2,5000000*G12/D$18,0))</f>
        <v>0</v>
      </c>
      <c r="L12" s="20"/>
      <c r="M12" s="20">
        <f>ROUNDUP(L12*3463656*3*G12/D$18,0)</f>
        <v>0</v>
      </c>
      <c r="N12" s="20">
        <f>ROUND(IF(G12&gt;0,9000000*G12/D$18,0),0)</f>
        <v>0</v>
      </c>
      <c r="O12" s="20">
        <f>ROUND(IF(G12&gt;0,22000000*G12/D$18,0),0)</f>
        <v>0</v>
      </c>
      <c r="P12" s="20">
        <f>ROUNDUP(MIN(3*3463656*30*B12/365,(F12*2*30)*B12/365),0)</f>
        <v>0</v>
      </c>
      <c r="Q12" s="20">
        <f>F12*30*B12/365</f>
        <v>0</v>
      </c>
      <c r="R12" s="20"/>
      <c r="S12" s="20"/>
      <c r="T12" s="20"/>
      <c r="U12" s="20"/>
      <c r="V12" s="20"/>
      <c r="W12" s="50">
        <f t="shared" si="0"/>
        <v>0</v>
      </c>
      <c r="X12" s="50">
        <f t="shared" si="1"/>
        <v>0</v>
      </c>
      <c r="Y12" s="50">
        <f t="shared" si="2"/>
        <v>0</v>
      </c>
      <c r="Z12" s="50">
        <f t="shared" si="3"/>
        <v>0</v>
      </c>
      <c r="AA12" s="50">
        <f t="shared" si="4"/>
        <v>0</v>
      </c>
      <c r="AB12" s="45">
        <f t="shared" si="5"/>
        <v>0</v>
      </c>
      <c r="AC12" s="20">
        <f t="shared" si="6"/>
        <v>0</v>
      </c>
      <c r="AD12" s="45">
        <f t="shared" si="7"/>
        <v>0</v>
      </c>
      <c r="AE12" s="45">
        <f t="shared" si="8"/>
        <v>0</v>
      </c>
      <c r="AF12" s="45">
        <f t="shared" si="9"/>
        <v>0</v>
      </c>
      <c r="AG12" s="45">
        <f t="shared" si="10"/>
        <v>0</v>
      </c>
      <c r="AH12" s="50">
        <f t="shared" si="11"/>
        <v>0</v>
      </c>
      <c r="AI12" s="50">
        <f t="shared" si="12"/>
        <v>0</v>
      </c>
      <c r="AJ12" s="50">
        <f t="shared" si="13"/>
        <v>0</v>
      </c>
      <c r="AK12" s="50">
        <f t="shared" si="14"/>
        <v>0</v>
      </c>
      <c r="AL12" s="50">
        <f t="shared" si="15"/>
        <v>0</v>
      </c>
      <c r="AM12" s="22">
        <f t="shared" si="16"/>
        <v>0</v>
      </c>
      <c r="AN12" s="50">
        <f t="shared" si="17"/>
        <v>0</v>
      </c>
      <c r="AO12" s="20">
        <f t="shared" si="18"/>
        <v>0</v>
      </c>
      <c r="AP12" s="51">
        <f>IF(F12&gt;0,240000000+AI12+U12,0)</f>
        <v>0</v>
      </c>
    </row>
    <row r="13" spans="1:42" s="5" customFormat="1" x14ac:dyDescent="0.5">
      <c r="A13" s="48">
        <v>12</v>
      </c>
      <c r="B13" s="48"/>
      <c r="C13" s="49">
        <f>'اطلاعات سال 1403'!B14</f>
        <v>0</v>
      </c>
      <c r="D13" s="20">
        <f>'اطلاعات سال 1403'!E14</f>
        <v>0</v>
      </c>
      <c r="E13" s="20">
        <f>'اطلاعات سال 1403'!F14</f>
        <v>0</v>
      </c>
      <c r="F13" s="20">
        <f>D13+E13</f>
        <v>0</v>
      </c>
      <c r="G13" s="52"/>
      <c r="H13" s="20">
        <f>D13*G13</f>
        <v>0</v>
      </c>
      <c r="I13" s="21">
        <f>F13*G13</f>
        <v>0</v>
      </c>
      <c r="J13" s="20"/>
      <c r="K13" s="20">
        <f>IF(J13=1,0,IF(J13=2,5000000*G13/D$18,0))</f>
        <v>0</v>
      </c>
      <c r="L13" s="20"/>
      <c r="M13" s="20">
        <f>ROUNDUP(L13*3463656*3*G13/D$18,0)</f>
        <v>0</v>
      </c>
      <c r="N13" s="20">
        <f>ROUND(IF(G13&gt;0,9000000*G13/D$18,0),0)</f>
        <v>0</v>
      </c>
      <c r="O13" s="20">
        <f>ROUND(IF(G13&gt;0,22000000*G13/D$18,0),0)</f>
        <v>0</v>
      </c>
      <c r="P13" s="20">
        <f>ROUNDUP(MIN(3*3463656*30*B13/365,(F13*2*30)*B13/365),0)</f>
        <v>0</v>
      </c>
      <c r="Q13" s="20">
        <f>F13*30*B13/365</f>
        <v>0</v>
      </c>
      <c r="R13" s="20"/>
      <c r="S13" s="20"/>
      <c r="T13" s="20"/>
      <c r="U13" s="20"/>
      <c r="V13" s="20"/>
      <c r="W13" s="50">
        <f t="shared" si="0"/>
        <v>0</v>
      </c>
      <c r="X13" s="50">
        <f t="shared" si="1"/>
        <v>0</v>
      </c>
      <c r="Y13" s="50">
        <f t="shared" si="2"/>
        <v>0</v>
      </c>
      <c r="Z13" s="50">
        <f t="shared" si="3"/>
        <v>0</v>
      </c>
      <c r="AA13" s="50">
        <f t="shared" si="4"/>
        <v>0</v>
      </c>
      <c r="AB13" s="45">
        <f t="shared" si="5"/>
        <v>0</v>
      </c>
      <c r="AC13" s="20">
        <f t="shared" si="6"/>
        <v>0</v>
      </c>
      <c r="AD13" s="45">
        <f t="shared" si="7"/>
        <v>0</v>
      </c>
      <c r="AE13" s="45">
        <f t="shared" si="8"/>
        <v>0</v>
      </c>
      <c r="AF13" s="45">
        <f t="shared" si="9"/>
        <v>0</v>
      </c>
      <c r="AG13" s="45">
        <f t="shared" si="10"/>
        <v>0</v>
      </c>
      <c r="AH13" s="50">
        <f t="shared" si="11"/>
        <v>0</v>
      </c>
      <c r="AI13" s="50">
        <f t="shared" si="12"/>
        <v>0</v>
      </c>
      <c r="AJ13" s="50">
        <f t="shared" si="13"/>
        <v>0</v>
      </c>
      <c r="AK13" s="50">
        <f t="shared" si="14"/>
        <v>0</v>
      </c>
      <c r="AL13" s="50">
        <f t="shared" si="15"/>
        <v>0</v>
      </c>
      <c r="AM13" s="22">
        <f t="shared" si="16"/>
        <v>0</v>
      </c>
      <c r="AN13" s="50">
        <f t="shared" si="17"/>
        <v>0</v>
      </c>
      <c r="AO13" s="20">
        <f t="shared" si="18"/>
        <v>0</v>
      </c>
      <c r="AP13" s="51">
        <f>IF(F13&gt;0,240000000+AI13+U13,0)</f>
        <v>0</v>
      </c>
    </row>
    <row r="14" spans="1:42" s="5" customFormat="1" x14ac:dyDescent="0.5">
      <c r="A14" s="48">
        <v>13</v>
      </c>
      <c r="B14" s="48"/>
      <c r="C14" s="49">
        <f>'اطلاعات سال 1403'!B15</f>
        <v>0</v>
      </c>
      <c r="D14" s="20">
        <f>'اطلاعات سال 1403'!E15</f>
        <v>0</v>
      </c>
      <c r="E14" s="20">
        <f>'اطلاعات سال 1403'!F15</f>
        <v>0</v>
      </c>
      <c r="F14" s="20">
        <f>D14+E14</f>
        <v>0</v>
      </c>
      <c r="G14" s="52"/>
      <c r="H14" s="20">
        <f>D14*G14</f>
        <v>0</v>
      </c>
      <c r="I14" s="21">
        <f>F14*G14</f>
        <v>0</v>
      </c>
      <c r="J14" s="20"/>
      <c r="K14" s="20">
        <f>IF(J14=1,0,IF(J14=2,5000000*G14/D$18,0))</f>
        <v>0</v>
      </c>
      <c r="L14" s="20"/>
      <c r="M14" s="20">
        <f>ROUNDUP(L14*3463656*3*G14/D$18,0)</f>
        <v>0</v>
      </c>
      <c r="N14" s="20">
        <f>ROUND(IF(G14&gt;0,9000000*G14/D$18,0),0)</f>
        <v>0</v>
      </c>
      <c r="O14" s="20">
        <f>ROUND(IF(G14&gt;0,22000000*G14/D$18,0),0)</f>
        <v>0</v>
      </c>
      <c r="P14" s="20">
        <f>ROUNDUP(MIN(3*3463656*30*B14/365,(F14*2*30)*B14/365),0)</f>
        <v>0</v>
      </c>
      <c r="Q14" s="20">
        <f>F14*30*B14/365</f>
        <v>0</v>
      </c>
      <c r="R14" s="20"/>
      <c r="S14" s="20"/>
      <c r="T14" s="20"/>
      <c r="U14" s="20"/>
      <c r="V14" s="20"/>
      <c r="W14" s="50">
        <f t="shared" si="0"/>
        <v>0</v>
      </c>
      <c r="X14" s="50">
        <f t="shared" si="1"/>
        <v>0</v>
      </c>
      <c r="Y14" s="50">
        <f t="shared" si="2"/>
        <v>0</v>
      </c>
      <c r="Z14" s="50">
        <f t="shared" si="3"/>
        <v>0</v>
      </c>
      <c r="AA14" s="50">
        <f t="shared" si="4"/>
        <v>0</v>
      </c>
      <c r="AB14" s="45">
        <f t="shared" si="5"/>
        <v>0</v>
      </c>
      <c r="AC14" s="20">
        <f t="shared" si="6"/>
        <v>0</v>
      </c>
      <c r="AD14" s="45">
        <f t="shared" si="7"/>
        <v>0</v>
      </c>
      <c r="AE14" s="45">
        <f t="shared" si="8"/>
        <v>0</v>
      </c>
      <c r="AF14" s="45">
        <f t="shared" si="9"/>
        <v>0</v>
      </c>
      <c r="AG14" s="45">
        <f t="shared" si="10"/>
        <v>0</v>
      </c>
      <c r="AH14" s="50">
        <f t="shared" si="11"/>
        <v>0</v>
      </c>
      <c r="AI14" s="50">
        <f t="shared" si="12"/>
        <v>0</v>
      </c>
      <c r="AJ14" s="50">
        <f t="shared" si="13"/>
        <v>0</v>
      </c>
      <c r="AK14" s="50">
        <f t="shared" si="14"/>
        <v>0</v>
      </c>
      <c r="AL14" s="50">
        <f t="shared" si="15"/>
        <v>0</v>
      </c>
      <c r="AM14" s="22">
        <f t="shared" si="16"/>
        <v>0</v>
      </c>
      <c r="AN14" s="50">
        <f t="shared" si="17"/>
        <v>0</v>
      </c>
      <c r="AO14" s="20">
        <f t="shared" si="18"/>
        <v>0</v>
      </c>
      <c r="AP14" s="51">
        <f>IF(F14&gt;0,240000000+AI14+U14,0)</f>
        <v>0</v>
      </c>
    </row>
    <row r="15" spans="1:42" s="5" customFormat="1" x14ac:dyDescent="0.5">
      <c r="A15" s="48">
        <v>14</v>
      </c>
      <c r="B15" s="48"/>
      <c r="C15" s="49">
        <f>'اطلاعات سال 1403'!B16</f>
        <v>0</v>
      </c>
      <c r="D15" s="20">
        <f>'اطلاعات سال 1403'!E16</f>
        <v>0</v>
      </c>
      <c r="E15" s="20">
        <f>'اطلاعات سال 1403'!F16</f>
        <v>0</v>
      </c>
      <c r="F15" s="20">
        <f>D15+E15</f>
        <v>0</v>
      </c>
      <c r="G15" s="52"/>
      <c r="H15" s="20">
        <f>D15*G15</f>
        <v>0</v>
      </c>
      <c r="I15" s="21">
        <f>F15*G15</f>
        <v>0</v>
      </c>
      <c r="J15" s="20"/>
      <c r="K15" s="20">
        <f>IF(J15=1,0,IF(J15=2,5000000*G15/D$18,0))</f>
        <v>0</v>
      </c>
      <c r="L15" s="20"/>
      <c r="M15" s="20">
        <f>ROUNDUP(L15*3463656*3*G15/D$18,0)</f>
        <v>0</v>
      </c>
      <c r="N15" s="20">
        <f>ROUND(IF(G15&gt;0,9000000*G15/D$18,0),0)</f>
        <v>0</v>
      </c>
      <c r="O15" s="20">
        <f>ROUND(IF(G15&gt;0,22000000*G15/D$18,0),0)</f>
        <v>0</v>
      </c>
      <c r="P15" s="20">
        <f>ROUNDUP(MIN(3*3463656*30*B15/365,(F15*2*30)*B15/365),0)</f>
        <v>0</v>
      </c>
      <c r="Q15" s="20">
        <f>F15*30*B15/365</f>
        <v>0</v>
      </c>
      <c r="R15" s="20"/>
      <c r="S15" s="20"/>
      <c r="T15" s="20"/>
      <c r="U15" s="20"/>
      <c r="V15" s="20"/>
      <c r="W15" s="50">
        <f t="shared" si="0"/>
        <v>0</v>
      </c>
      <c r="X15" s="50">
        <f t="shared" si="1"/>
        <v>0</v>
      </c>
      <c r="Y15" s="50">
        <f t="shared" si="2"/>
        <v>0</v>
      </c>
      <c r="Z15" s="50">
        <f t="shared" si="3"/>
        <v>0</v>
      </c>
      <c r="AA15" s="50">
        <f t="shared" si="4"/>
        <v>0</v>
      </c>
      <c r="AB15" s="45">
        <f t="shared" si="5"/>
        <v>0</v>
      </c>
      <c r="AC15" s="20">
        <f t="shared" si="6"/>
        <v>0</v>
      </c>
      <c r="AD15" s="45">
        <f t="shared" si="7"/>
        <v>0</v>
      </c>
      <c r="AE15" s="45">
        <f t="shared" si="8"/>
        <v>0</v>
      </c>
      <c r="AF15" s="45">
        <f t="shared" si="9"/>
        <v>0</v>
      </c>
      <c r="AG15" s="45">
        <f t="shared" si="10"/>
        <v>0</v>
      </c>
      <c r="AH15" s="50">
        <f t="shared" si="11"/>
        <v>0</v>
      </c>
      <c r="AI15" s="50">
        <f t="shared" si="12"/>
        <v>0</v>
      </c>
      <c r="AJ15" s="50">
        <f t="shared" si="13"/>
        <v>0</v>
      </c>
      <c r="AK15" s="50">
        <f t="shared" si="14"/>
        <v>0</v>
      </c>
      <c r="AL15" s="50">
        <f t="shared" si="15"/>
        <v>0</v>
      </c>
      <c r="AM15" s="22">
        <f t="shared" si="16"/>
        <v>0</v>
      </c>
      <c r="AN15" s="50">
        <f t="shared" si="17"/>
        <v>0</v>
      </c>
      <c r="AO15" s="20">
        <f t="shared" si="18"/>
        <v>0</v>
      </c>
      <c r="AP15" s="51">
        <f>IF(F15&gt;0,240000000+AI15+U15,0)</f>
        <v>0</v>
      </c>
    </row>
    <row r="16" spans="1:42" s="5" customFormat="1" x14ac:dyDescent="0.5">
      <c r="A16" s="48">
        <v>15</v>
      </c>
      <c r="B16" s="48"/>
      <c r="C16" s="49">
        <f>'اطلاعات سال 1403'!B17</f>
        <v>0</v>
      </c>
      <c r="D16" s="20">
        <f>'اطلاعات سال 1403'!E17</f>
        <v>0</v>
      </c>
      <c r="E16" s="20">
        <f>'اطلاعات سال 1403'!F17</f>
        <v>0</v>
      </c>
      <c r="F16" s="20">
        <f>D16+E16</f>
        <v>0</v>
      </c>
      <c r="G16" s="52"/>
      <c r="H16" s="20">
        <f>D16*G16</f>
        <v>0</v>
      </c>
      <c r="I16" s="21">
        <f>F16*G16</f>
        <v>0</v>
      </c>
      <c r="J16" s="20"/>
      <c r="K16" s="20">
        <f>IF(J16=1,0,IF(J16=2,5000000*G16/D$18,0))</f>
        <v>0</v>
      </c>
      <c r="L16" s="20"/>
      <c r="M16" s="20">
        <f>ROUNDUP(L16*3463656*3*G16/D$18,0)</f>
        <v>0</v>
      </c>
      <c r="N16" s="20">
        <f>ROUND(IF(G16&gt;0,9000000*G16/D$18,0),0)</f>
        <v>0</v>
      </c>
      <c r="O16" s="20">
        <f>ROUND(IF(G16&gt;0,22000000*G16/D$18,0),0)</f>
        <v>0</v>
      </c>
      <c r="P16" s="20">
        <f>ROUNDUP(MIN(3*3463656*30*B16/365,(F16*2*30)*B16/365),0)</f>
        <v>0</v>
      </c>
      <c r="Q16" s="20">
        <f>F16*30*B16/365</f>
        <v>0</v>
      </c>
      <c r="R16" s="20"/>
      <c r="S16" s="20"/>
      <c r="T16" s="20"/>
      <c r="U16" s="20"/>
      <c r="V16" s="20"/>
      <c r="W16" s="50">
        <f t="shared" si="0"/>
        <v>0</v>
      </c>
      <c r="X16" s="50">
        <f t="shared" si="1"/>
        <v>0</v>
      </c>
      <c r="Y16" s="50">
        <f t="shared" si="2"/>
        <v>0</v>
      </c>
      <c r="Z16" s="50">
        <f t="shared" si="3"/>
        <v>0</v>
      </c>
      <c r="AA16" s="50">
        <f t="shared" si="4"/>
        <v>0</v>
      </c>
      <c r="AB16" s="45">
        <f t="shared" si="5"/>
        <v>0</v>
      </c>
      <c r="AC16" s="20">
        <f t="shared" si="6"/>
        <v>0</v>
      </c>
      <c r="AD16" s="45">
        <f t="shared" si="7"/>
        <v>0</v>
      </c>
      <c r="AE16" s="45">
        <f t="shared" si="8"/>
        <v>0</v>
      </c>
      <c r="AF16" s="45">
        <f t="shared" si="9"/>
        <v>0</v>
      </c>
      <c r="AG16" s="45">
        <f t="shared" si="10"/>
        <v>0</v>
      </c>
      <c r="AH16" s="50">
        <f t="shared" si="11"/>
        <v>0</v>
      </c>
      <c r="AI16" s="50">
        <f t="shared" si="12"/>
        <v>0</v>
      </c>
      <c r="AJ16" s="50">
        <f t="shared" si="13"/>
        <v>0</v>
      </c>
      <c r="AK16" s="50">
        <f t="shared" si="14"/>
        <v>0</v>
      </c>
      <c r="AL16" s="50">
        <f t="shared" si="15"/>
        <v>0</v>
      </c>
      <c r="AM16" s="22">
        <f t="shared" si="16"/>
        <v>0</v>
      </c>
      <c r="AN16" s="50">
        <f t="shared" si="17"/>
        <v>0</v>
      </c>
      <c r="AO16" s="20">
        <f t="shared" si="18"/>
        <v>0</v>
      </c>
      <c r="AP16" s="51">
        <f>IF(F16&gt;0,240000000+AI16+U16,0)</f>
        <v>0</v>
      </c>
    </row>
    <row r="17" spans="1:42" s="54" customFormat="1" ht="24.95" customHeight="1" x14ac:dyDescent="0.5">
      <c r="A17" s="61" t="s">
        <v>24</v>
      </c>
      <c r="B17" s="62"/>
      <c r="C17" s="63"/>
      <c r="D17" s="53">
        <f>SUM(D2:D16)</f>
        <v>16974190.960000001</v>
      </c>
      <c r="E17" s="53">
        <f>SUM(E2:E16)</f>
        <v>3119970</v>
      </c>
      <c r="F17" s="53">
        <f>SUM(F2:F16)</f>
        <v>20094160.960000001</v>
      </c>
      <c r="G17" s="53">
        <f>SUM(G2:G16)</f>
        <v>62</v>
      </c>
      <c r="H17" s="53">
        <f>SUM(H2:H16)</f>
        <v>526199919.75999999</v>
      </c>
      <c r="I17" s="53">
        <f>SUM(I2:I16)</f>
        <v>549369846.75999999</v>
      </c>
      <c r="J17" s="53">
        <f>SUM(J2:J16)</f>
        <v>4</v>
      </c>
      <c r="K17" s="53">
        <f>SUM(K2:K16)</f>
        <v>10000000</v>
      </c>
      <c r="L17" s="53">
        <f>SUM(L2:L16)</f>
        <v>0</v>
      </c>
      <c r="M17" s="53">
        <f>SUM(M2:M16)</f>
        <v>0</v>
      </c>
      <c r="N17" s="53">
        <f>SUM(N2:N16)</f>
        <v>18000000</v>
      </c>
      <c r="O17" s="53">
        <f>SUM(O2:O16)</f>
        <v>44000000</v>
      </c>
      <c r="P17" s="53">
        <f>SUM(P2:P16)</f>
        <v>0</v>
      </c>
      <c r="Q17" s="53">
        <f>SUM(Q2:Q16)</f>
        <v>0</v>
      </c>
      <c r="R17" s="53">
        <f>SUM(R2:R16)</f>
        <v>0</v>
      </c>
      <c r="S17" s="53">
        <f>SUM(S2:S16)</f>
        <v>0</v>
      </c>
      <c r="T17" s="53">
        <f>SUM(T2:T16)</f>
        <v>0</v>
      </c>
      <c r="U17" s="53">
        <f>SUM(U2:U16)</f>
        <v>0</v>
      </c>
      <c r="V17" s="53">
        <f>SUM(V2:V16)</f>
        <v>0</v>
      </c>
      <c r="W17" s="53">
        <f>SUM(W2:W16)</f>
        <v>621369846.75999999</v>
      </c>
      <c r="X17" s="53">
        <f>SUM(X2:X16)</f>
        <v>621369846.75999999</v>
      </c>
      <c r="Y17" s="53">
        <f>SUM(Y2:Y16)</f>
        <v>72000000</v>
      </c>
      <c r="Z17" s="53">
        <f>SUM(Z2:Z16)</f>
        <v>621369846.75999999</v>
      </c>
      <c r="AA17" s="53">
        <f>SUM(AA2:AA16)</f>
        <v>577873958.75999999</v>
      </c>
      <c r="AB17" s="53">
        <f>SUM(AB2:AB16)</f>
        <v>505873958.75999999</v>
      </c>
      <c r="AC17" s="53">
        <f>SUM(AC2:AC16)</f>
        <v>72000000</v>
      </c>
      <c r="AD17" s="53">
        <f>SUM(AD2:AD16)</f>
        <v>402041907.87049687</v>
      </c>
      <c r="AE17" s="53">
        <f>SUM(AE2:AE16)</f>
        <v>77958092.129503176</v>
      </c>
      <c r="AF17" s="53">
        <f>SUM(AF2:AF16)</f>
        <v>172532463</v>
      </c>
      <c r="AG17" s="53">
        <f>SUM(AG2:AG16)</f>
        <v>15830174</v>
      </c>
      <c r="AH17" s="53">
        <f>SUM(AH2:AH16)</f>
        <v>621369846.75999999</v>
      </c>
      <c r="AI17" s="53">
        <f>SUM(AI2:AI16)</f>
        <v>43495888</v>
      </c>
      <c r="AJ17" s="53">
        <f>SUM(AJ2:AJ16)</f>
        <v>124273970</v>
      </c>
      <c r="AK17" s="53">
        <f>SUM(AK2:AK16)</f>
        <v>18641096</v>
      </c>
      <c r="AL17" s="53">
        <f>SUM(AL2:AL16)</f>
        <v>186410954</v>
      </c>
      <c r="AM17" s="53">
        <f>SUM(AM2:AM16)</f>
        <v>26089510.399999999</v>
      </c>
      <c r="AN17" s="53">
        <f>SUM(AN2:AN16)</f>
        <v>69585398.400000006</v>
      </c>
      <c r="AO17" s="53">
        <f>SUM(AO2:AO16)</f>
        <v>551784448.36000001</v>
      </c>
      <c r="AP17" s="53">
        <f>SUM(AP2:AP16)</f>
        <v>1483495888</v>
      </c>
    </row>
    <row r="18" spans="1:42" ht="21.75" x14ac:dyDescent="0.5">
      <c r="A18" s="64" t="s">
        <v>33</v>
      </c>
      <c r="B18" s="65"/>
      <c r="C18" s="66"/>
      <c r="D18" s="3">
        <v>31</v>
      </c>
      <c r="H18" s="1"/>
      <c r="V18" s="7"/>
      <c r="AA18" s="55"/>
      <c r="AM18" s="7"/>
    </row>
    <row r="19" spans="1:42" x14ac:dyDescent="0.5">
      <c r="H19" s="1"/>
      <c r="Z19" s="55"/>
      <c r="AM19" s="7"/>
    </row>
    <row r="20" spans="1:42" x14ac:dyDescent="0.5">
      <c r="H20" s="1"/>
      <c r="Y20" s="55"/>
      <c r="AM20" s="7"/>
    </row>
    <row r="21" spans="1:42" x14ac:dyDescent="0.5">
      <c r="H21" s="1"/>
      <c r="Y21" s="55"/>
      <c r="AM21" s="7"/>
    </row>
    <row r="22" spans="1:42" x14ac:dyDescent="0.5">
      <c r="H22" s="1"/>
      <c r="Y22" s="55"/>
      <c r="AM22" s="7"/>
    </row>
    <row r="23" spans="1:42" x14ac:dyDescent="0.5">
      <c r="H23" s="1"/>
      <c r="Y23" s="55"/>
      <c r="AM23" s="7"/>
    </row>
    <row r="24" spans="1:42" x14ac:dyDescent="0.5">
      <c r="H24" s="1"/>
      <c r="Y24" s="55"/>
      <c r="AM24" s="7"/>
    </row>
    <row r="25" spans="1:42" ht="31.5" customHeight="1" x14ac:dyDescent="0.5">
      <c r="H25" s="1"/>
      <c r="Y25" s="55"/>
      <c r="AM25" s="7"/>
    </row>
    <row r="26" spans="1:42" x14ac:dyDescent="0.5">
      <c r="H26" s="1"/>
      <c r="Y26" s="55"/>
      <c r="AM26" s="7"/>
    </row>
    <row r="27" spans="1:42" x14ac:dyDescent="0.5">
      <c r="H27" s="1"/>
      <c r="Y27" s="55"/>
      <c r="AM27" s="7"/>
    </row>
    <row r="28" spans="1:42" x14ac:dyDescent="0.5">
      <c r="H28" s="1"/>
      <c r="Y28" s="55"/>
      <c r="AM28" s="7"/>
    </row>
    <row r="29" spans="1:42" x14ac:dyDescent="0.5">
      <c r="H29" s="1"/>
      <c r="Y29" s="55"/>
      <c r="AM29" s="7"/>
    </row>
    <row r="30" spans="1:42" x14ac:dyDescent="0.5">
      <c r="H30" s="1"/>
      <c r="Z30" s="55"/>
      <c r="AM30" s="7"/>
    </row>
    <row r="31" spans="1:42" x14ac:dyDescent="0.5">
      <c r="H31" s="1"/>
      <c r="Z31" s="55"/>
      <c r="AM31" s="7"/>
    </row>
    <row r="32" spans="1:42" x14ac:dyDescent="0.5">
      <c r="H32" s="1"/>
      <c r="Z32" s="55"/>
      <c r="AM32" s="7"/>
    </row>
    <row r="33" spans="8:39" x14ac:dyDescent="0.5">
      <c r="H33" s="1"/>
      <c r="AA33" s="55"/>
      <c r="AM33" s="7"/>
    </row>
    <row r="34" spans="8:39" x14ac:dyDescent="0.5">
      <c r="H34" s="1"/>
      <c r="AA34" s="55"/>
      <c r="AM34" s="7"/>
    </row>
    <row r="35" spans="8:39" x14ac:dyDescent="0.5">
      <c r="H35" s="1"/>
      <c r="AA35" s="55"/>
      <c r="AM35" s="7"/>
    </row>
  </sheetData>
  <mergeCells count="2">
    <mergeCell ref="A17:C17"/>
    <mergeCell ref="A18:C18"/>
  </mergeCells>
  <printOptions horizontalCentered="1"/>
  <pageMargins left="1.1811023622047245" right="0" top="1.1811023622047245" bottom="0" header="1.1811023622047245" footer="0"/>
  <pageSetup paperSize="9" scale="2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راهنما</vt:lpstr>
      <vt:lpstr>اطلاعات سال 1403</vt:lpstr>
      <vt:lpstr>1</vt:lpstr>
      <vt:lpstr>asli</vt:lpstr>
      <vt:lpstr>'1'!Print_Area</vt:lpstr>
      <vt:lpstr>ش1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Hesabdari</dc:creator>
  <cp:lastModifiedBy>armin alizadeh</cp:lastModifiedBy>
  <cp:lastPrinted>2023-04-03T08:10:41Z</cp:lastPrinted>
  <dcterms:created xsi:type="dcterms:W3CDTF">2016-11-13T04:27:56Z</dcterms:created>
  <dcterms:modified xsi:type="dcterms:W3CDTF">2025-06-25T15:00:37Z</dcterms:modified>
</cp:coreProperties>
</file>