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sh\Downloads\"/>
    </mc:Choice>
  </mc:AlternateContent>
  <xr:revisionPtr revIDLastSave="0" documentId="13_ncr:1_{BFD946C5-7976-4276-9D35-E50D137468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نهایی " sheetId="4" r:id="rId1"/>
    <sheet name="Sheet1" sheetId="1" r:id="rId2"/>
    <sheet name="Sheet1 (2)" sheetId="2" r:id="rId3"/>
    <sheet name="Sheet3" sheetId="3" r:id="rId4"/>
    <sheet name="Sheet5" sheetId="5" r:id="rId5"/>
    <sheet name="با فرض مستمر نقدی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0" i="4" l="1"/>
  <c r="M18" i="4"/>
  <c r="L15" i="4"/>
  <c r="L16" i="4"/>
  <c r="L17" i="4"/>
  <c r="J16" i="4"/>
  <c r="J17" i="4"/>
  <c r="I18" i="4"/>
  <c r="H18" i="4"/>
  <c r="J18" i="4" s="1"/>
  <c r="J15" i="4"/>
  <c r="D10" i="4"/>
  <c r="E10" i="4" s="1"/>
  <c r="E4" i="4"/>
  <c r="E21" i="6"/>
  <c r="C19" i="6"/>
  <c r="F17" i="6"/>
  <c r="E14" i="6"/>
  <c r="E15" i="6" s="1"/>
  <c r="C13" i="6"/>
  <c r="E10" i="6"/>
  <c r="E7" i="6"/>
  <c r="E4" i="6"/>
  <c r="E1" i="6"/>
  <c r="D22" i="3"/>
  <c r="E21" i="3"/>
  <c r="E15" i="3"/>
  <c r="D23" i="3"/>
  <c r="C19" i="3"/>
  <c r="E20" i="3" s="1"/>
  <c r="D20" i="3" s="1"/>
  <c r="D21" i="3"/>
  <c r="E4" i="3"/>
  <c r="I10" i="4" l="1"/>
  <c r="K10" i="4"/>
  <c r="E3" i="4"/>
  <c r="E2" i="4"/>
  <c r="E17" i="6"/>
  <c r="E20" i="6" s="1"/>
  <c r="D20" i="6" s="1"/>
  <c r="D21" i="6"/>
  <c r="D22" i="6" s="1"/>
  <c r="E7" i="3"/>
  <c r="E17" i="3" s="1"/>
  <c r="E10" i="3"/>
  <c r="E1" i="3"/>
  <c r="B5" i="2"/>
  <c r="D1" i="2"/>
  <c r="C1" i="2"/>
  <c r="B1" i="2"/>
  <c r="S1" i="2" s="1"/>
  <c r="A1" i="2"/>
  <c r="B5" i="1"/>
  <c r="S1" i="1"/>
  <c r="H1" i="1" s="1"/>
  <c r="F1" i="1"/>
  <c r="D1" i="1"/>
  <c r="C1" i="1"/>
  <c r="B1" i="1"/>
  <c r="A1" i="1"/>
  <c r="G3" i="4" l="1"/>
  <c r="I3" i="4" s="1"/>
  <c r="J10" i="4"/>
  <c r="G2" i="4"/>
  <c r="I2" i="4" s="1"/>
  <c r="D23" i="6"/>
  <c r="D24" i="6"/>
  <c r="D26" i="6" s="1"/>
  <c r="D24" i="3"/>
  <c r="D26" i="3" s="1"/>
  <c r="F1" i="2"/>
  <c r="H1" i="2"/>
  <c r="K1" i="1"/>
  <c r="P1" i="1" s="1"/>
  <c r="E1" i="1"/>
  <c r="G1" i="1" s="1"/>
  <c r="R1" i="1" s="1"/>
  <c r="L10" i="4" l="1"/>
  <c r="J2" i="4"/>
  <c r="L2" i="4" s="1"/>
  <c r="E1" i="2"/>
  <c r="G1" i="2" s="1"/>
  <c r="R1" i="2" s="1"/>
  <c r="K1" i="2"/>
  <c r="P1" i="2" s="1"/>
  <c r="M1" i="1"/>
  <c r="B17" i="1" s="1"/>
  <c r="M1" i="2" l="1"/>
  <c r="B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hesabdaranbartar</author>
  </authors>
  <commentList>
    <comment ref="D2" authorId="0" shapeId="0" xr:uid="{737ED978-0B38-4D43-BDA7-C22B8CA20EFD}">
      <text>
        <r>
          <rPr>
            <b/>
            <sz val="9"/>
            <color indexed="81"/>
            <rFont val="Tahoma"/>
            <family val="2"/>
          </rPr>
          <t xml:space="preserve">هفت درصد و بیمه تکمیلی 
و سایر کسور مالیات 
</t>
        </r>
      </text>
    </comment>
    <comment ref="D10" authorId="0" shapeId="0" xr:uid="{47348357-05FB-487E-A5B0-7B1C273F8618}">
      <text>
        <r>
          <rPr>
            <b/>
            <sz val="9"/>
            <color indexed="81"/>
            <rFont val="Tahoma"/>
            <family val="2"/>
          </rPr>
          <t xml:space="preserve">هفت درصد و بیمه تکمیلی 
و سایر کسور مالیات 
</t>
        </r>
      </text>
    </comment>
  </commentList>
</comments>
</file>

<file path=xl/sharedStrings.xml><?xml version="1.0" encoding="utf-8"?>
<sst xmlns="http://schemas.openxmlformats.org/spreadsheetml/2006/main" count="155" uniqueCount="94">
  <si>
    <t>مستمر نقدی سال</t>
  </si>
  <si>
    <t>مستمر غیر نقدی سال</t>
  </si>
  <si>
    <t>غیر مستمر غیر نقدی تا پایان ماه</t>
  </si>
  <si>
    <t>غیر مستمر نقدی تا پایان ماه</t>
  </si>
  <si>
    <t>مستمر سال + غیر مستمر تا پایان ماه</t>
  </si>
  <si>
    <t>کمکی</t>
  </si>
  <si>
    <t>مالیات مستمر سال و غیر مستمر پایان ماه</t>
  </si>
  <si>
    <t>مستمر سالانه</t>
  </si>
  <si>
    <t>مالیات مستمر سال</t>
  </si>
  <si>
    <t>جمع مالیات متعلقه تا پایان ماه</t>
  </si>
  <si>
    <t>مالیات مستمر تا پایان ماه</t>
  </si>
  <si>
    <t>مالیات غیر مستمر تا پایان ماه</t>
  </si>
  <si>
    <t>ماده 84</t>
  </si>
  <si>
    <t>بند ۱۳ ماده ۹۱</t>
  </si>
  <si>
    <t>شماره ماه</t>
  </si>
  <si>
    <t>م. ن</t>
  </si>
  <si>
    <t>م. ن. تا پایان ماه قبل</t>
  </si>
  <si>
    <t>م. غ ن</t>
  </si>
  <si>
    <r>
      <rPr>
        <b/>
        <sz val="12"/>
        <rFont val="Vazirmatn"/>
        <charset val="1"/>
      </rPr>
      <t xml:space="preserve">م. غ ن. </t>
    </r>
    <r>
      <rPr>
        <b/>
        <sz val="12"/>
        <rFont val="Vazirmatn"/>
      </rPr>
      <t>تا پایان ماه قبل</t>
    </r>
  </si>
  <si>
    <t>غ م. غ ن</t>
  </si>
  <si>
    <r>
      <rPr>
        <b/>
        <sz val="12"/>
        <rFont val="Vazirmatn"/>
        <charset val="1"/>
      </rPr>
      <t xml:space="preserve">غ م. غ ن. </t>
    </r>
    <r>
      <rPr>
        <b/>
        <sz val="12"/>
        <rFont val="Vazirmatn"/>
      </rPr>
      <t>تا پایان ماه قبل</t>
    </r>
  </si>
  <si>
    <t>غ م. ن</t>
  </si>
  <si>
    <r>
      <rPr>
        <b/>
        <sz val="12"/>
        <rFont val="Vazirmatn"/>
        <charset val="1"/>
      </rPr>
      <t xml:space="preserve">غ م. ن. </t>
    </r>
    <r>
      <rPr>
        <b/>
        <sz val="12"/>
        <rFont val="Vazirmatn"/>
      </rPr>
      <t>تا پایان ماه قبل</t>
    </r>
  </si>
  <si>
    <t>مالیات متعلق تا ماه قبل</t>
  </si>
  <si>
    <t>مالیات ماه جاری</t>
  </si>
  <si>
    <t xml:space="preserve">مستمر نقدی تجمیعی </t>
  </si>
  <si>
    <t xml:space="preserve">مستمر غیر نقدی تجمیعی </t>
  </si>
  <si>
    <t>a</t>
  </si>
  <si>
    <t xml:space="preserve">b </t>
  </si>
  <si>
    <t>c</t>
  </si>
  <si>
    <t xml:space="preserve">غیر مستمر غیر نقدی تجمیعی </t>
  </si>
  <si>
    <t>d</t>
  </si>
  <si>
    <t xml:space="preserve">غیر مستمر نقدی تجمیعی </t>
  </si>
  <si>
    <t>b-24</t>
  </si>
  <si>
    <t xml:space="preserve">همیشه منفی </t>
  </si>
  <si>
    <t>S</t>
  </si>
  <si>
    <t>s+c</t>
  </si>
  <si>
    <t>H</t>
  </si>
  <si>
    <t>F</t>
  </si>
  <si>
    <t xml:space="preserve">اگر منفی باشد صفر قرارداده شود </t>
  </si>
  <si>
    <t>E</t>
  </si>
  <si>
    <t>H+F+D</t>
  </si>
  <si>
    <t>G</t>
  </si>
  <si>
    <t>K</t>
  </si>
  <si>
    <t>P</t>
  </si>
  <si>
    <t>مالیات حقوق و مزایای مستمر نقدی و غیرنقدی تا پایان ماه جاری</t>
  </si>
  <si>
    <t>R</t>
  </si>
  <si>
    <t>مالیات مزایای غیرمستمر نقدی و غیرنقدی تا پایان ماه جاری</t>
  </si>
  <si>
    <t>M</t>
  </si>
  <si>
    <t>جمع مالیات متعلق تا پایان ماه جاری</t>
  </si>
  <si>
    <t xml:space="preserve">مالیات ماه قبل </t>
  </si>
  <si>
    <t xml:space="preserve">مالیات ماه جاری </t>
  </si>
  <si>
    <t xml:space="preserve">مستمر نقدی </t>
  </si>
  <si>
    <t xml:space="preserve">غیر مستمر غیر نقدی </t>
  </si>
  <si>
    <t xml:space="preserve">غیر مستمر نقد </t>
  </si>
  <si>
    <t xml:space="preserve">ماه </t>
  </si>
  <si>
    <t xml:space="preserve">مالیات </t>
  </si>
  <si>
    <t xml:space="preserve">مالیات کل </t>
  </si>
  <si>
    <t xml:space="preserve">مالیات پرداخت شده </t>
  </si>
  <si>
    <t xml:space="preserve">چون s همیشه منفی 24 هست پس همیشه صفر است </t>
  </si>
  <si>
    <t xml:space="preserve">غیر نقدی مشمول </t>
  </si>
  <si>
    <t xml:space="preserve">جمع حقوق و مزایای مستمر نقدی و غیر نقدیساالنهو مزایای غیرمستمر نقدی و غیرنقدی تا پایان ماه جاری </t>
  </si>
  <si>
    <t xml:space="preserve">مالیات حقوق و مزایای مستمر نقدی سالانه </t>
  </si>
  <si>
    <r>
      <rPr>
        <sz val="10"/>
        <rFont val="B Nazanin"/>
        <charset val="178"/>
      </rPr>
      <t xml:space="preserve">کل مالیات متعلق مستمر سالانه و مالیات </t>
    </r>
    <r>
      <rPr>
        <sz val="10"/>
        <rFont val="Arial"/>
        <family val="2"/>
      </rPr>
      <t>غیرمستمر تا پایان ماه جاری</t>
    </r>
  </si>
  <si>
    <t xml:space="preserve">کل مالیات مستمر ماه رو به دست بیار تا آخر ماه جاری </t>
  </si>
  <si>
    <t xml:space="preserve">کل مستمر سالانه + غیر مستمرهای مشمول مالیات اعم نقدی و غیر نقدی پس از کسر معافیت </t>
  </si>
  <si>
    <t xml:space="preserve">)مستمرهای مشمول مالیات تبدیل به سال شود بره تو جدول مالیات به دست بیاد) بعد تبدیل شود به ماه </t>
  </si>
  <si>
    <t xml:space="preserve">میبریم تو پله مالیاتی  منهای داخل پرانتر بالا شود  + کل بالا شود </t>
  </si>
  <si>
    <t>اگرS منفی باشد صفر قرارداده شود در غیر اینصورت B</t>
  </si>
  <si>
    <t xml:space="preserve">پله مالیاتی </t>
  </si>
  <si>
    <t xml:space="preserve">پس از کسر معافیت </t>
  </si>
  <si>
    <t xml:space="preserve">معافیت </t>
  </si>
  <si>
    <t xml:space="preserve">مشمول مالیات </t>
  </si>
  <si>
    <t xml:space="preserve">قابل پرداخت ماه جاری </t>
  </si>
  <si>
    <t xml:space="preserve">نام کارمند </t>
  </si>
  <si>
    <t xml:space="preserve">آرمین علیزاده </t>
  </si>
  <si>
    <t xml:space="preserve">حقوق مستمر نقدی تجمعیعی </t>
  </si>
  <si>
    <t>بیمه تکمیلی و  7 درصد</t>
  </si>
  <si>
    <t xml:space="preserve">مستمر نقدی تجمیعی پس از کسر معافیت </t>
  </si>
  <si>
    <t xml:space="preserve">غیر مستمر غیر نقدی پس از معافیت 24 تومن تجیعی </t>
  </si>
  <si>
    <t xml:space="preserve">مالیات مستمر و غیر مستمربراساس سال </t>
  </si>
  <si>
    <t xml:space="preserve">مالیات مستمر بر اساس سال </t>
  </si>
  <si>
    <t xml:space="preserve">مالیات تجمیعی </t>
  </si>
  <si>
    <t xml:space="preserve">تجمعی سال مستمر </t>
  </si>
  <si>
    <t xml:space="preserve">تجمیعی سال مستمر و غیر مستمر </t>
  </si>
  <si>
    <t>غیر مستمر نقد تجمیعی</t>
  </si>
  <si>
    <t xml:space="preserve">تبدیل به ماه شد </t>
  </si>
  <si>
    <t xml:space="preserve">اختلاف با مستمر مالیات غیر مستمره </t>
  </si>
  <si>
    <t xml:space="preserve">فروردین </t>
  </si>
  <si>
    <t xml:space="preserve">اردیبهشت </t>
  </si>
  <si>
    <t xml:space="preserve">غیر مستمر </t>
  </si>
  <si>
    <t xml:space="preserve">خرداد </t>
  </si>
  <si>
    <t xml:space="preserve">مشمول </t>
  </si>
  <si>
    <t xml:space="preserve">بیمه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</si>
</sst>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5" formatCode="#,##0;[Red]#,##0"/>
    <numFmt numFmtId="166" formatCode="_ * #,##0.00_-_ر_ي_ا_ل_ ;_ * #,##0.00\-_ر_ي_ا_ل_ ;_ * &quot;-&quot;??_-_ر_ي_ا_ل_ ;_ @_ "/>
  </numFmts>
  <fonts count="16">
    <font>
      <sz val="10"/>
      <name val="Arial"/>
      <family val="2"/>
    </font>
    <font>
      <sz val="10"/>
      <name val="Arial"/>
      <family val="2"/>
    </font>
    <font>
      <sz val="12"/>
      <name val="Vazirmatn"/>
      <charset val="1"/>
    </font>
    <font>
      <sz val="9"/>
      <name val="Vazirmatn"/>
      <charset val="1"/>
    </font>
    <font>
      <sz val="9"/>
      <name val="Vazirmatn"/>
    </font>
    <font>
      <sz val="12"/>
      <name val="Vazirmatn"/>
    </font>
    <font>
      <b/>
      <sz val="12"/>
      <name val="Vazirmatn"/>
      <charset val="1"/>
    </font>
    <font>
      <b/>
      <sz val="12"/>
      <name val="Vazirmatn"/>
    </font>
    <font>
      <sz val="8"/>
      <name val="Arial"/>
      <family val="2"/>
    </font>
    <font>
      <sz val="10"/>
      <name val="B Nazanin"/>
      <charset val="178"/>
    </font>
    <font>
      <sz val="10"/>
      <name val="Arial"/>
      <family val="2"/>
      <charset val="178"/>
    </font>
    <font>
      <sz val="10"/>
      <color theme="4" tint="0.59999389629810485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3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9" fontId="12" fillId="0" borderId="0" applyFont="0" applyFill="0" applyBorder="0" applyAlignment="0" applyProtection="0"/>
  </cellStyleXfs>
  <cellXfs count="71">
    <xf numFmtId="0" fontId="0" fillId="0" borderId="0" xfId="0"/>
    <xf numFmtId="3" fontId="2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/>
    <xf numFmtId="3" fontId="6" fillId="0" borderId="0" xfId="0" applyNumberFormat="1" applyFont="1" applyAlignment="1">
      <alignment vertical="center"/>
    </xf>
    <xf numFmtId="3" fontId="0" fillId="0" borderId="0" xfId="0" applyNumberFormat="1"/>
    <xf numFmtId="164" fontId="1" fillId="0" borderId="0" xfId="1" applyNumberFormat="1"/>
    <xf numFmtId="165" fontId="0" fillId="0" borderId="1" xfId="0" applyNumberFormat="1" applyBorder="1"/>
    <xf numFmtId="165" fontId="0" fillId="0" borderId="0" xfId="0" applyNumberFormat="1"/>
    <xf numFmtId="165" fontId="1" fillId="0" borderId="0" xfId="1" applyNumberFormat="1"/>
    <xf numFmtId="165" fontId="8" fillId="0" borderId="0" xfId="0" applyNumberFormat="1" applyFont="1"/>
    <xf numFmtId="0" fontId="8" fillId="0" borderId="0" xfId="0" applyFont="1"/>
    <xf numFmtId="165" fontId="0" fillId="3" borderId="0" xfId="0" applyNumberFormat="1" applyFill="1"/>
    <xf numFmtId="165" fontId="0" fillId="4" borderId="0" xfId="0" applyNumberFormat="1" applyFill="1"/>
    <xf numFmtId="0" fontId="0" fillId="4" borderId="0" xfId="0" applyFill="1"/>
    <xf numFmtId="0" fontId="8" fillId="0" borderId="0" xfId="0" applyFont="1" applyAlignment="1">
      <alignment wrapText="1"/>
    </xf>
    <xf numFmtId="165" fontId="1" fillId="5" borderId="0" xfId="1" applyNumberFormat="1" applyFill="1"/>
    <xf numFmtId="165" fontId="0" fillId="5" borderId="0" xfId="0" applyNumberFormat="1" applyFill="1"/>
    <xf numFmtId="0" fontId="14" fillId="0" borderId="0" xfId="0" applyFont="1" applyAlignment="1">
      <alignment horizontal="center"/>
    </xf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Alignment="1">
      <alignment wrapText="1"/>
    </xf>
    <xf numFmtId="9" fontId="14" fillId="0" borderId="0" xfId="2" applyFont="1"/>
    <xf numFmtId="164" fontId="14" fillId="0" borderId="0" xfId="1" applyNumberFormat="1" applyFont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 wrapText="1"/>
    </xf>
    <xf numFmtId="9" fontId="14" fillId="0" borderId="1" xfId="2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Border="1" applyAlignment="1">
      <alignment wrapText="1"/>
    </xf>
    <xf numFmtId="9" fontId="14" fillId="0" borderId="1" xfId="2" applyFont="1" applyBorder="1"/>
    <xf numFmtId="164" fontId="14" fillId="0" borderId="1" xfId="1" applyNumberFormat="1" applyFont="1" applyBorder="1"/>
    <xf numFmtId="9" fontId="14" fillId="0" borderId="0" xfId="2" applyFont="1" applyAlignment="1">
      <alignment wrapText="1"/>
    </xf>
    <xf numFmtId="164" fontId="14" fillId="0" borderId="0" xfId="1" applyNumberFormat="1" applyFont="1" applyAlignment="1">
      <alignment wrapText="1"/>
    </xf>
    <xf numFmtId="0" fontId="14" fillId="0" borderId="0" xfId="0" applyFont="1" applyAlignment="1">
      <alignment wrapText="1"/>
    </xf>
    <xf numFmtId="164" fontId="1" fillId="0" borderId="0" xfId="1" applyNumberFormat="1" applyAlignment="1">
      <alignment horizontal="right" wrapText="1"/>
    </xf>
    <xf numFmtId="3" fontId="15" fillId="0" borderId="1" xfId="0" applyNumberFormat="1" applyFont="1" applyBorder="1"/>
    <xf numFmtId="3" fontId="15" fillId="6" borderId="1" xfId="0" applyNumberFormat="1" applyFont="1" applyFill="1" applyBorder="1" applyAlignment="1">
      <alignment horizontal="right" vertical="center" wrapText="1" indent="1"/>
    </xf>
    <xf numFmtId="3" fontId="15" fillId="7" borderId="1" xfId="0" applyNumberFormat="1" applyFont="1" applyFill="1" applyBorder="1"/>
    <xf numFmtId="164" fontId="14" fillId="0" borderId="0" xfId="0" applyNumberFormat="1" applyFont="1" applyAlignment="1">
      <alignment wrapText="1"/>
    </xf>
    <xf numFmtId="166" fontId="14" fillId="0" borderId="0" xfId="0" applyNumberFormat="1" applyFont="1" applyAlignment="1">
      <alignment wrapText="1"/>
    </xf>
    <xf numFmtId="3" fontId="14" fillId="0" borderId="1" xfId="0" applyNumberFormat="1" applyFont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165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 wrapText="1"/>
    </xf>
    <xf numFmtId="9" fontId="14" fillId="0" borderId="1" xfId="2" applyFont="1" applyBorder="1" applyAlignment="1">
      <alignment wrapText="1"/>
    </xf>
    <xf numFmtId="164" fontId="14" fillId="0" borderId="1" xfId="1" applyNumberFormat="1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164" fontId="1" fillId="0" borderId="1" xfId="1" applyNumberFormat="1" applyBorder="1"/>
    <xf numFmtId="164" fontId="1" fillId="0" borderId="1" xfId="1" applyNumberFormat="1" applyBorder="1" applyAlignment="1">
      <alignment wrapText="1"/>
    </xf>
    <xf numFmtId="164" fontId="14" fillId="3" borderId="1" xfId="1" applyNumberFormat="1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0D6D-82B4-4E66-A4A9-6A7C0CC3DF4F}">
  <dimension ref="A1:O20"/>
  <sheetViews>
    <sheetView rightToLeft="1" tabSelected="1" zoomScale="106" zoomScaleNormal="106" workbookViewId="0">
      <selection activeCell="G17" sqref="G17"/>
    </sheetView>
  </sheetViews>
  <sheetFormatPr defaultRowHeight="16.5"/>
  <cols>
    <col min="1" max="1" width="19" style="21" bestFit="1" customWidth="1"/>
    <col min="2" max="2" width="19" style="21" customWidth="1"/>
    <col min="3" max="3" width="14.85546875" style="22" bestFit="1" customWidth="1"/>
    <col min="4" max="4" width="14.85546875" style="23" bestFit="1" customWidth="1"/>
    <col min="5" max="5" width="14.85546875" style="22" bestFit="1" customWidth="1"/>
    <col min="6" max="6" width="15.140625" style="22" customWidth="1"/>
    <col min="7" max="7" width="17.28515625" style="22" bestFit="1" customWidth="1"/>
    <col min="8" max="8" width="20.5703125" style="24" bestFit="1" customWidth="1"/>
    <col min="9" max="9" width="19.140625" style="25" bestFit="1" customWidth="1"/>
    <col min="10" max="10" width="19.140625" style="21" bestFit="1" customWidth="1"/>
    <col min="11" max="11" width="19.140625" style="25" bestFit="1" customWidth="1"/>
    <col min="12" max="12" width="21.5703125" style="21" bestFit="1" customWidth="1"/>
    <col min="13" max="13" width="15.28515625" style="21" bestFit="1" customWidth="1"/>
    <col min="14" max="16384" width="9.140625" style="21"/>
  </cols>
  <sheetData>
    <row r="1" spans="1:15" s="20" customFormat="1" ht="33.75" customHeight="1">
      <c r="A1" s="26"/>
      <c r="B1" s="26"/>
      <c r="C1" s="27"/>
      <c r="D1" s="28" t="s">
        <v>71</v>
      </c>
      <c r="E1" s="28" t="s">
        <v>70</v>
      </c>
      <c r="F1" s="27" t="s">
        <v>55</v>
      </c>
      <c r="G1" s="27" t="s">
        <v>72</v>
      </c>
      <c r="H1" s="29" t="s">
        <v>69</v>
      </c>
      <c r="I1" s="30" t="s">
        <v>56</v>
      </c>
      <c r="J1" s="27" t="s">
        <v>57</v>
      </c>
      <c r="K1" s="30" t="s">
        <v>58</v>
      </c>
      <c r="L1" s="31" t="s">
        <v>73</v>
      </c>
    </row>
    <row r="2" spans="1:15">
      <c r="A2" s="32" t="s">
        <v>52</v>
      </c>
      <c r="B2" s="32"/>
      <c r="C2" s="33">
        <v>297661704</v>
      </c>
      <c r="D2" s="8">
        <v>45321632</v>
      </c>
      <c r="E2" s="33">
        <f>C2-D2</f>
        <v>252340072</v>
      </c>
      <c r="F2" s="46">
        <v>3</v>
      </c>
      <c r="G2" s="33">
        <f>E2*12/F2</f>
        <v>1009360288</v>
      </c>
      <c r="H2" s="35">
        <v>0.1</v>
      </c>
      <c r="I2" s="36">
        <f>IF(G2-1440000000&lt;0,0,(G2-1440000000)*H2)</f>
        <v>0</v>
      </c>
      <c r="J2" s="47">
        <f>I3-I2+I2/12*2</f>
        <v>0</v>
      </c>
      <c r="K2" s="48">
        <v>0</v>
      </c>
      <c r="L2" s="49">
        <f>J2-K2</f>
        <v>0</v>
      </c>
    </row>
    <row r="3" spans="1:15">
      <c r="A3" s="32" t="s">
        <v>54</v>
      </c>
      <c r="B3" s="32"/>
      <c r="C3" s="33">
        <v>349790186</v>
      </c>
      <c r="D3" s="34"/>
      <c r="E3" s="33">
        <f>C3-D3</f>
        <v>349790186</v>
      </c>
      <c r="F3" s="46"/>
      <c r="G3" s="33">
        <f>E2*12/F2+E3+E4</f>
        <v>1359150474</v>
      </c>
      <c r="H3" s="35">
        <v>0.1</v>
      </c>
      <c r="I3" s="36">
        <f>IF(G3-1440000000&lt;0,0,(G3-1440000000)*H3)</f>
        <v>0</v>
      </c>
      <c r="J3" s="47"/>
      <c r="K3" s="48"/>
      <c r="L3" s="49"/>
    </row>
    <row r="4" spans="1:15">
      <c r="A4" s="32" t="s">
        <v>53</v>
      </c>
      <c r="B4" s="32"/>
      <c r="C4" s="33">
        <v>0</v>
      </c>
      <c r="D4" s="34">
        <v>240000000</v>
      </c>
      <c r="E4" s="33">
        <f>IF(C4-D4&gt;0,C4-D4,0)</f>
        <v>0</v>
      </c>
      <c r="F4" s="46"/>
      <c r="G4" s="33"/>
      <c r="H4" s="35"/>
      <c r="I4" s="36"/>
      <c r="J4" s="32"/>
      <c r="K4" s="36"/>
      <c r="L4" s="32"/>
    </row>
    <row r="9" spans="1:15" ht="66">
      <c r="A9" s="32" t="s">
        <v>74</v>
      </c>
      <c r="B9" s="32" t="s">
        <v>55</v>
      </c>
      <c r="C9" s="34" t="s">
        <v>76</v>
      </c>
      <c r="D9" s="34" t="s">
        <v>77</v>
      </c>
      <c r="E9" s="34" t="s">
        <v>78</v>
      </c>
      <c r="F9" s="34" t="s">
        <v>79</v>
      </c>
      <c r="G9" s="34" t="s">
        <v>85</v>
      </c>
      <c r="H9" s="28" t="s">
        <v>83</v>
      </c>
      <c r="I9" s="64" t="s">
        <v>84</v>
      </c>
      <c r="J9" s="65" t="s">
        <v>80</v>
      </c>
      <c r="K9" s="66" t="s">
        <v>81</v>
      </c>
      <c r="L9" s="67" t="s">
        <v>82</v>
      </c>
      <c r="M9" s="38"/>
      <c r="N9" s="39"/>
    </row>
    <row r="10" spans="1:15" ht="28.5" customHeight="1">
      <c r="A10" s="32" t="s">
        <v>75</v>
      </c>
      <c r="B10" s="32">
        <v>6</v>
      </c>
      <c r="C10" s="41">
        <v>297661704</v>
      </c>
      <c r="D10" s="68">
        <f>16693007+16693007+11935618</f>
        <v>45321632</v>
      </c>
      <c r="E10" s="34">
        <f>C10-D10</f>
        <v>252340072</v>
      </c>
      <c r="F10" s="34">
        <v>0</v>
      </c>
      <c r="G10" s="41">
        <v>1000000000</v>
      </c>
      <c r="H10" s="34">
        <f>E10*12/B10</f>
        <v>504680144</v>
      </c>
      <c r="I10" s="34">
        <f>H10+F10+G10</f>
        <v>1504680144</v>
      </c>
      <c r="J10" s="34">
        <f>ROUND(IFERROR(IF(I10&lt;=1440000000,0,IF(AND(I10&gt;1440000000,I10&lt;1980000000),(I10-1440000000)*0.1,IF(AND(I10&gt;=1980000000,I10&lt;3240000000),(1980000000-1440000000)*0.1+(I10-1980000000)*0.15,IF(AND(I10&gt;3240000000,I10&lt;4800000001),(1980000000-1440000000)*0.1+(3240000000-1980000000)*0.15+(I10-3240000000)*0.2,(1980000000-1440000000)*0.1+(3240000000-1980000000)*0.15+(4800000000-3240000000)*0.2+(I10-4800000000)*0.3)))),0),0)</f>
        <v>6468014</v>
      </c>
      <c r="K10" s="69">
        <f>ROUND(IFERROR(IF(H10&lt;=1440000000,0,IF(AND(H10&gt;1440000000,H10&lt;1980000000),(H10-1440000000)*0.1,IF(AND(H10&gt;=1980000000,H10&lt;3240000000),(1980000000-1440000000)*0.1+(H10-1980000000)*0.15,IF(AND(H10&gt;3240000000,H10&lt;4800000001),(1980000000-1440000000)*0.1+(3240000000-1980000000)*0.15+(H10-3240000000)*0.2,(1980000000-1440000000)*0.1+(3240000000-1980000000)*0.15+(4800000000-3240000000)*0.2+(H10-4800000000)*0.3)))),0),0)</f>
        <v>0</v>
      </c>
      <c r="L10" s="70">
        <f>(K10*F2/12)+(J10-K10)</f>
        <v>6468014</v>
      </c>
      <c r="M10" s="39"/>
      <c r="N10" s="38"/>
      <c r="O10" s="39"/>
    </row>
    <row r="11" spans="1:15" ht="26.25">
      <c r="C11" s="23"/>
      <c r="E11" s="23"/>
      <c r="F11" s="23"/>
      <c r="G11" s="23"/>
      <c r="H11" s="23"/>
      <c r="I11" s="23"/>
      <c r="J11" s="40" t="s">
        <v>87</v>
      </c>
      <c r="K11" s="40" t="s">
        <v>86</v>
      </c>
      <c r="L11" s="39"/>
      <c r="M11" s="38"/>
      <c r="N11" s="39"/>
    </row>
    <row r="12" spans="1:15">
      <c r="C12" s="23"/>
      <c r="E12" s="23"/>
      <c r="F12" s="23"/>
      <c r="G12" s="23"/>
      <c r="H12" s="23"/>
      <c r="I12" s="23"/>
      <c r="J12" s="37"/>
      <c r="K12" s="38"/>
      <c r="L12" s="39"/>
      <c r="M12" s="38"/>
      <c r="N12" s="39"/>
    </row>
    <row r="13" spans="1:15">
      <c r="C13" s="23"/>
      <c r="E13" s="23"/>
      <c r="F13" s="23"/>
      <c r="G13" s="23"/>
      <c r="H13" s="23"/>
      <c r="I13" s="23"/>
      <c r="J13" s="37"/>
      <c r="K13" s="38"/>
      <c r="L13" s="39"/>
      <c r="M13" s="38"/>
      <c r="N13" s="39"/>
    </row>
    <row r="14" spans="1:15">
      <c r="C14" s="23"/>
      <c r="E14" s="23"/>
      <c r="F14" s="23"/>
      <c r="G14" s="23"/>
      <c r="H14" s="23" t="s">
        <v>52</v>
      </c>
      <c r="I14" s="23" t="s">
        <v>90</v>
      </c>
      <c r="J14" s="37"/>
      <c r="K14" s="38" t="s">
        <v>93</v>
      </c>
      <c r="L14" s="39" t="s">
        <v>92</v>
      </c>
      <c r="M14" s="38" t="s">
        <v>56</v>
      </c>
      <c r="N14" s="39"/>
    </row>
    <row r="15" spans="1:15">
      <c r="C15" s="23"/>
      <c r="E15" s="23"/>
      <c r="F15" s="23"/>
      <c r="G15" s="34" t="s">
        <v>88</v>
      </c>
      <c r="H15" s="41">
        <v>99220568</v>
      </c>
      <c r="I15" s="43">
        <v>71288256</v>
      </c>
      <c r="J15" s="42">
        <f>H15+I15</f>
        <v>170508824</v>
      </c>
      <c r="K15" s="38">
        <v>16693007</v>
      </c>
      <c r="L15" s="44">
        <f>H15+I15-K15</f>
        <v>153815817</v>
      </c>
      <c r="M15" s="44">
        <v>4709864</v>
      </c>
      <c r="N15" s="39"/>
    </row>
    <row r="16" spans="1:15">
      <c r="C16" s="23"/>
      <c r="E16" s="23"/>
      <c r="F16" s="23"/>
      <c r="G16" s="34" t="s">
        <v>89</v>
      </c>
      <c r="H16" s="41">
        <v>99220568</v>
      </c>
      <c r="I16" s="43">
        <v>139250965</v>
      </c>
      <c r="J16" s="42">
        <f t="shared" ref="J16:J18" si="0">H16+I16</f>
        <v>238471533</v>
      </c>
      <c r="K16" s="38">
        <v>16693007</v>
      </c>
      <c r="L16" s="44">
        <f t="shared" ref="L16:L17" si="1">H16+I16-K16</f>
        <v>221778526</v>
      </c>
      <c r="M16" s="44">
        <v>11370211</v>
      </c>
    </row>
    <row r="17" spans="3:13">
      <c r="C17" s="23"/>
      <c r="E17" s="23"/>
      <c r="F17" s="23"/>
      <c r="G17" s="34" t="s">
        <v>91</v>
      </c>
      <c r="H17" s="41">
        <v>99220568</v>
      </c>
      <c r="I17" s="43">
        <v>139250965</v>
      </c>
      <c r="J17" s="42">
        <f t="shared" si="0"/>
        <v>238471533</v>
      </c>
      <c r="K17" s="38">
        <v>11935618</v>
      </c>
      <c r="L17" s="44">
        <f t="shared" si="1"/>
        <v>226535915</v>
      </c>
      <c r="M17" s="44">
        <v>1414583</v>
      </c>
    </row>
    <row r="18" spans="3:13">
      <c r="C18" s="23"/>
      <c r="E18" s="23"/>
      <c r="F18" s="23"/>
      <c r="G18" s="23"/>
      <c r="H18" s="41">
        <f>SUM(H15:H17)</f>
        <v>297661704</v>
      </c>
      <c r="I18" s="43">
        <f>SUM(I15:I17)</f>
        <v>349790186</v>
      </c>
      <c r="J18" s="42">
        <f t="shared" si="0"/>
        <v>647451890</v>
      </c>
      <c r="K18" s="38"/>
      <c r="L18" s="45"/>
      <c r="M18" s="44">
        <f>SUM(M15:M17)</f>
        <v>17494658</v>
      </c>
    </row>
    <row r="19" spans="3:13">
      <c r="H19" s="41"/>
      <c r="I19" s="41"/>
      <c r="J19" s="41">
        <v>0</v>
      </c>
      <c r="M19" s="44"/>
    </row>
    <row r="20" spans="3:13">
      <c r="M20" s="44"/>
    </row>
  </sheetData>
  <mergeCells count="4">
    <mergeCell ref="F2:F4"/>
    <mergeCell ref="J2:J3"/>
    <mergeCell ref="K2:K3"/>
    <mergeCell ref="L2:L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"/>
  <sheetViews>
    <sheetView rightToLeft="1" zoomScale="90" zoomScaleNormal="90" workbookViewId="0">
      <selection activeCell="C3" sqref="C3"/>
    </sheetView>
  </sheetViews>
  <sheetFormatPr defaultColWidth="11.5703125" defaultRowHeight="15"/>
  <cols>
    <col min="1" max="1" width="25.42578125" style="1" customWidth="1"/>
    <col min="2" max="2" width="19.42578125" style="1" customWidth="1"/>
    <col min="3" max="3" width="28.5703125" style="1" customWidth="1"/>
    <col min="4" max="4" width="19.42578125" style="1" customWidth="1"/>
    <col min="5" max="5" width="27.5703125" style="1" customWidth="1"/>
    <col min="6" max="6" width="19.42578125" style="1" customWidth="1"/>
    <col min="7" max="7" width="29.28515625" style="1" customWidth="1"/>
    <col min="8" max="8" width="19.42578125" style="1" customWidth="1"/>
    <col min="9" max="10" width="19.42578125" style="1" hidden="1" customWidth="1"/>
    <col min="11" max="11" width="19.42578125" style="1" customWidth="1"/>
    <col min="12" max="12" width="19.42578125" style="1" hidden="1" customWidth="1"/>
    <col min="13" max="13" width="22.28515625" style="1" customWidth="1"/>
    <col min="14" max="15" width="19.42578125" style="1" hidden="1" customWidth="1"/>
    <col min="16" max="16" width="19.42578125" style="1" customWidth="1"/>
    <col min="17" max="17" width="19.42578125" style="1" hidden="1" customWidth="1"/>
    <col min="18" max="18" width="20.85546875" style="1" customWidth="1"/>
    <col min="19" max="24" width="19.42578125" style="1" customWidth="1"/>
    <col min="25" max="1024" width="11.5703125" style="1"/>
  </cols>
  <sheetData>
    <row r="1" spans="1:19" ht="18.75" customHeight="1">
      <c r="A1" s="1">
        <f>(B7+B8)*12/B6</f>
        <v>1440000000</v>
      </c>
      <c r="B1" s="1">
        <f>(B9+B10)*12/B6</f>
        <v>0</v>
      </c>
      <c r="C1" s="1">
        <f>B11+B12</f>
        <v>0</v>
      </c>
      <c r="D1" s="1">
        <f>B13+B14</f>
        <v>2000000</v>
      </c>
      <c r="E1" s="1">
        <f>H1+F1+D1</f>
        <v>1442000000</v>
      </c>
      <c r="F1" s="1">
        <f>MAX(0, IF(S1&lt;0,S1+C1,C1))</f>
        <v>0</v>
      </c>
      <c r="G1" s="2">
        <f>IF(E1&lt;=12*B4,0,E1*10%)</f>
        <v>144200000</v>
      </c>
      <c r="H1" s="1">
        <f>IF(S1&lt;0,A1,A1+S1)</f>
        <v>1440000000</v>
      </c>
      <c r="K1" s="2">
        <f>IF(H1&lt;=12*B4,0,H1*10%)</f>
        <v>0</v>
      </c>
      <c r="M1" s="1">
        <f>P1+R1</f>
        <v>144200000</v>
      </c>
      <c r="N1"/>
      <c r="P1" s="1">
        <f>K1*B6/12</f>
        <v>0</v>
      </c>
      <c r="R1" s="1">
        <f>G1-K1</f>
        <v>144200000</v>
      </c>
      <c r="S1" s="1">
        <f>B1-B5</f>
        <v>-240000000</v>
      </c>
    </row>
    <row r="2" spans="1:19" s="3" customFormat="1" ht="18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K2" s="3" t="s">
        <v>8</v>
      </c>
      <c r="M2" s="3" t="s">
        <v>9</v>
      </c>
      <c r="P2" s="3" t="s">
        <v>10</v>
      </c>
      <c r="R2" s="4" t="s">
        <v>11</v>
      </c>
      <c r="S2" s="3" t="s">
        <v>5</v>
      </c>
    </row>
    <row r="4" spans="1:19" ht="18.75" customHeight="1">
      <c r="A4" s="1" t="s">
        <v>12</v>
      </c>
      <c r="B4" s="1">
        <v>120000000</v>
      </c>
    </row>
    <row r="5" spans="1:19" ht="18.75" customHeight="1">
      <c r="A5" s="1" t="s">
        <v>13</v>
      </c>
      <c r="B5" s="1">
        <f>2*B4</f>
        <v>240000000</v>
      </c>
    </row>
    <row r="6" spans="1:19" ht="18.75" customHeight="1">
      <c r="A6" s="5" t="s">
        <v>14</v>
      </c>
      <c r="B6" s="1">
        <v>1</v>
      </c>
    </row>
    <row r="7" spans="1:19" ht="18.75" customHeight="1">
      <c r="A7" s="1" t="s">
        <v>15</v>
      </c>
      <c r="B7" s="1">
        <v>120000000</v>
      </c>
    </row>
    <row r="8" spans="1:19" ht="18.75" customHeight="1">
      <c r="A8" s="6" t="s">
        <v>16</v>
      </c>
      <c r="B8" s="1">
        <v>0</v>
      </c>
    </row>
    <row r="9" spans="1:19" ht="18.75" customHeight="1">
      <c r="A9" s="1" t="s">
        <v>17</v>
      </c>
      <c r="B9" s="1">
        <v>0</v>
      </c>
    </row>
    <row r="10" spans="1:19" ht="18.75" customHeight="1">
      <c r="A10" s="6" t="s">
        <v>18</v>
      </c>
      <c r="B10" s="1">
        <v>0</v>
      </c>
    </row>
    <row r="11" spans="1:19" ht="18.75" customHeight="1">
      <c r="A11" s="1" t="s">
        <v>19</v>
      </c>
      <c r="B11" s="1">
        <v>0</v>
      </c>
    </row>
    <row r="12" spans="1:19" ht="18.75" customHeight="1">
      <c r="A12" s="6" t="s">
        <v>20</v>
      </c>
      <c r="B12" s="1">
        <v>0</v>
      </c>
    </row>
    <row r="13" spans="1:19" ht="18.75" customHeight="1">
      <c r="A13" s="1" t="s">
        <v>21</v>
      </c>
      <c r="B13" s="1">
        <v>2000000</v>
      </c>
    </row>
    <row r="14" spans="1:19" ht="18.75" customHeight="1">
      <c r="A14" s="6" t="s">
        <v>22</v>
      </c>
      <c r="B14" s="1">
        <v>0</v>
      </c>
    </row>
    <row r="16" spans="1:19" ht="18.75" customHeight="1">
      <c r="A16" s="1" t="s">
        <v>23</v>
      </c>
      <c r="B16" s="1">
        <v>0</v>
      </c>
    </row>
    <row r="17" spans="1:2" ht="18.75" customHeight="1">
      <c r="A17" s="1" t="s">
        <v>24</v>
      </c>
      <c r="B17" s="1">
        <f>MAX(0,M1-B16)</f>
        <v>144200000</v>
      </c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14A27-AD70-494A-BDA3-92E576EFD815}">
  <dimension ref="A1:AMJ21"/>
  <sheetViews>
    <sheetView rightToLeft="1" zoomScale="90" zoomScaleNormal="90" workbookViewId="0">
      <selection activeCell="D10" sqref="D10"/>
    </sheetView>
  </sheetViews>
  <sheetFormatPr defaultColWidth="11.5703125" defaultRowHeight="15"/>
  <cols>
    <col min="1" max="1" width="25.42578125" style="1" customWidth="1"/>
    <col min="2" max="2" width="19.42578125" style="1" customWidth="1"/>
    <col min="3" max="3" width="28.5703125" style="1" customWidth="1"/>
    <col min="4" max="4" width="19.42578125" style="1" customWidth="1"/>
    <col min="5" max="5" width="27.5703125" style="1" customWidth="1"/>
    <col min="6" max="6" width="19.42578125" style="1" customWidth="1"/>
    <col min="7" max="7" width="29.28515625" style="1" customWidth="1"/>
    <col min="8" max="8" width="19.42578125" style="1" customWidth="1"/>
    <col min="9" max="10" width="19.42578125" style="1" hidden="1" customWidth="1"/>
    <col min="11" max="11" width="19.42578125" style="1" customWidth="1"/>
    <col min="12" max="12" width="19.42578125" style="1" hidden="1" customWidth="1"/>
    <col min="13" max="13" width="22.28515625" style="1" customWidth="1"/>
    <col min="14" max="15" width="19.42578125" style="1" hidden="1" customWidth="1"/>
    <col min="16" max="16" width="19.42578125" style="1" customWidth="1"/>
    <col min="17" max="17" width="19.42578125" style="1" hidden="1" customWidth="1"/>
    <col min="18" max="18" width="20.85546875" style="1" customWidth="1"/>
    <col min="19" max="24" width="19.42578125" style="1" customWidth="1"/>
    <col min="25" max="1024" width="11.5703125" style="1"/>
  </cols>
  <sheetData>
    <row r="1" spans="1:19" ht="18.75" customHeight="1">
      <c r="A1" s="1">
        <f>(B7+B8)*12/B6</f>
        <v>1440000000</v>
      </c>
      <c r="B1" s="1">
        <f>(B9+B10)*12/B6</f>
        <v>0</v>
      </c>
      <c r="C1" s="1">
        <f>B11+B12</f>
        <v>0</v>
      </c>
      <c r="D1" s="1">
        <f>B13+B14</f>
        <v>2000000</v>
      </c>
      <c r="E1" s="1">
        <f>H1+F1+D1</f>
        <v>1442000000</v>
      </c>
      <c r="F1" s="1">
        <f>MAX(0, IF(S1&lt;0,S1+C1,C1))</f>
        <v>0</v>
      </c>
      <c r="G1" s="2">
        <f>IF(E1&lt;=12*B4,0,E1*10%)</f>
        <v>144200000</v>
      </c>
      <c r="H1" s="1">
        <f>IF(S1&lt;0,A1,A1+S1)</f>
        <v>1440000000</v>
      </c>
      <c r="K1" s="2">
        <f>IF(H1&lt;=12*B4,0,H1*10%)</f>
        <v>0</v>
      </c>
      <c r="M1" s="1">
        <f>P1+R1</f>
        <v>144200000</v>
      </c>
      <c r="N1"/>
      <c r="P1" s="1">
        <f>K1*B6/12</f>
        <v>0</v>
      </c>
      <c r="R1" s="1">
        <f>G1-K1</f>
        <v>144200000</v>
      </c>
      <c r="S1" s="1">
        <f>B1-B5</f>
        <v>-240000000</v>
      </c>
    </row>
    <row r="2" spans="1:19" s="3" customFormat="1" ht="18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K2" s="3" t="s">
        <v>8</v>
      </c>
      <c r="M2" s="3" t="s">
        <v>9</v>
      </c>
      <c r="P2" s="3" t="s">
        <v>10</v>
      </c>
      <c r="R2" s="4" t="s">
        <v>11</v>
      </c>
      <c r="S2" s="3" t="s">
        <v>5</v>
      </c>
    </row>
    <row r="4" spans="1:19" ht="18.75" customHeight="1">
      <c r="A4" s="1" t="s">
        <v>12</v>
      </c>
      <c r="B4" s="1">
        <v>120000000</v>
      </c>
    </row>
    <row r="5" spans="1:19" ht="18.75" customHeight="1">
      <c r="A5" s="1" t="s">
        <v>13</v>
      </c>
      <c r="B5" s="1">
        <f>2*B4</f>
        <v>240000000</v>
      </c>
    </row>
    <row r="6" spans="1:19" ht="18.75" customHeight="1">
      <c r="A6" s="5" t="s">
        <v>14</v>
      </c>
      <c r="B6" s="1">
        <v>1</v>
      </c>
    </row>
    <row r="7" spans="1:19" ht="18.75" customHeight="1">
      <c r="A7" s="1" t="s">
        <v>15</v>
      </c>
      <c r="B7" s="1">
        <v>120000000</v>
      </c>
    </row>
    <row r="8" spans="1:19" ht="18.75" customHeight="1">
      <c r="A8" s="6" t="s">
        <v>16</v>
      </c>
      <c r="B8" s="1">
        <v>0</v>
      </c>
    </row>
    <row r="9" spans="1:19" ht="18.75" customHeight="1">
      <c r="A9" s="1" t="s">
        <v>17</v>
      </c>
      <c r="B9" s="1">
        <v>0</v>
      </c>
    </row>
    <row r="10" spans="1:19" ht="18.75" customHeight="1">
      <c r="A10" s="6" t="s">
        <v>18</v>
      </c>
      <c r="B10" s="1">
        <v>0</v>
      </c>
    </row>
    <row r="11" spans="1:19" ht="18.75" customHeight="1">
      <c r="A11" s="1" t="s">
        <v>19</v>
      </c>
      <c r="B11" s="1">
        <v>0</v>
      </c>
    </row>
    <row r="12" spans="1:19" ht="18.75" customHeight="1">
      <c r="A12" s="6" t="s">
        <v>20</v>
      </c>
      <c r="B12" s="1">
        <v>0</v>
      </c>
    </row>
    <row r="13" spans="1:19" ht="18.75" customHeight="1">
      <c r="A13" s="1" t="s">
        <v>21</v>
      </c>
      <c r="B13" s="1">
        <v>2000000</v>
      </c>
    </row>
    <row r="14" spans="1:19" ht="18.75" customHeight="1">
      <c r="A14" s="6" t="s">
        <v>22</v>
      </c>
      <c r="B14" s="1">
        <v>0</v>
      </c>
    </row>
    <row r="16" spans="1:19" ht="18.75" customHeight="1">
      <c r="A16" s="1" t="s">
        <v>23</v>
      </c>
      <c r="B16" s="1">
        <v>0</v>
      </c>
    </row>
    <row r="17" spans="1:2" ht="18.75" customHeight="1">
      <c r="A17" s="1" t="s">
        <v>24</v>
      </c>
      <c r="B17" s="1">
        <f>MAX(0,M1-B16)</f>
        <v>144200000</v>
      </c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CD44-BC0A-49AA-872D-9E47280E2F02}">
  <dimension ref="A1:J26"/>
  <sheetViews>
    <sheetView rightToLeft="1" zoomScale="110" zoomScaleNormal="110" workbookViewId="0">
      <selection activeCell="C13" sqref="C13"/>
    </sheetView>
  </sheetViews>
  <sheetFormatPr defaultRowHeight="12.75"/>
  <cols>
    <col min="2" max="2" width="22.85546875" customWidth="1"/>
    <col min="3" max="3" width="23.28515625" style="10" customWidth="1"/>
    <col min="4" max="4" width="11.42578125" style="10" bestFit="1" customWidth="1"/>
    <col min="5" max="5" width="13.140625" style="10" bestFit="1" customWidth="1"/>
    <col min="6" max="7" width="9.140625" style="10"/>
    <col min="8" max="10" width="9.140625" style="7"/>
  </cols>
  <sheetData>
    <row r="1" spans="1:5">
      <c r="A1" s="62" t="s">
        <v>27</v>
      </c>
      <c r="B1" s="62" t="s">
        <v>25</v>
      </c>
      <c r="C1" s="9">
        <v>12</v>
      </c>
      <c r="D1" s="57">
        <v>300000000</v>
      </c>
      <c r="E1" s="57">
        <f>D1*C1/C2</f>
        <v>1800000000</v>
      </c>
    </row>
    <row r="2" spans="1:5">
      <c r="A2" s="62"/>
      <c r="B2" s="62"/>
      <c r="C2" s="9">
        <v>2</v>
      </c>
      <c r="D2" s="57"/>
      <c r="E2" s="57"/>
    </row>
    <row r="4" spans="1:5">
      <c r="A4" s="62" t="s">
        <v>28</v>
      </c>
      <c r="B4" s="62" t="s">
        <v>26</v>
      </c>
      <c r="C4" s="9">
        <v>12</v>
      </c>
      <c r="D4" s="63">
        <v>0</v>
      </c>
      <c r="E4" s="63">
        <f>D4*C4/C5</f>
        <v>0</v>
      </c>
    </row>
    <row r="5" spans="1:5">
      <c r="A5" s="62"/>
      <c r="B5" s="62"/>
      <c r="C5" s="9">
        <v>2</v>
      </c>
      <c r="D5" s="63"/>
      <c r="E5" s="63"/>
    </row>
    <row r="7" spans="1:5">
      <c r="A7" s="62" t="s">
        <v>29</v>
      </c>
      <c r="B7" s="62" t="s">
        <v>30</v>
      </c>
      <c r="C7" s="60"/>
      <c r="D7" s="58">
        <v>260000000</v>
      </c>
      <c r="E7" s="58">
        <f>D7</f>
        <v>260000000</v>
      </c>
    </row>
    <row r="8" spans="1:5">
      <c r="A8" s="62"/>
      <c r="B8" s="62"/>
      <c r="C8" s="61"/>
      <c r="D8" s="59"/>
      <c r="E8" s="59"/>
    </row>
    <row r="10" spans="1:5">
      <c r="A10" s="62" t="s">
        <v>31</v>
      </c>
      <c r="B10" s="62" t="s">
        <v>32</v>
      </c>
      <c r="C10" s="56"/>
      <c r="D10" s="57">
        <v>80000000</v>
      </c>
      <c r="E10" s="57">
        <f>D10</f>
        <v>80000000</v>
      </c>
    </row>
    <row r="11" spans="1:5">
      <c r="A11" s="62"/>
      <c r="B11" s="62"/>
      <c r="C11" s="56"/>
      <c r="D11" s="57"/>
      <c r="E11" s="57"/>
    </row>
    <row r="13" spans="1:5">
      <c r="A13" t="s">
        <v>35</v>
      </c>
      <c r="B13" s="16" t="s">
        <v>34</v>
      </c>
      <c r="C13" s="11">
        <v>-240000000</v>
      </c>
      <c r="E13" s="10" t="s">
        <v>33</v>
      </c>
    </row>
    <row r="14" spans="1:5">
      <c r="B14" s="51" t="s">
        <v>59</v>
      </c>
      <c r="C14" s="51"/>
      <c r="E14" s="10">
        <v>0</v>
      </c>
    </row>
    <row r="15" spans="1:5" ht="20.25" customHeight="1">
      <c r="A15" t="s">
        <v>37</v>
      </c>
      <c r="B15" s="52"/>
      <c r="C15" s="53"/>
      <c r="D15" s="53"/>
      <c r="E15" s="10">
        <f>E1+E14</f>
        <v>1800000000</v>
      </c>
    </row>
    <row r="17" spans="1:6">
      <c r="A17" t="s">
        <v>38</v>
      </c>
      <c r="B17" s="13" t="s">
        <v>39</v>
      </c>
      <c r="C17" s="12" t="s">
        <v>60</v>
      </c>
      <c r="D17" s="10" t="s">
        <v>36</v>
      </c>
      <c r="E17" s="10">
        <f>C13+E7</f>
        <v>20000000</v>
      </c>
    </row>
    <row r="19" spans="1:6" ht="33.75">
      <c r="A19" t="s">
        <v>40</v>
      </c>
      <c r="B19" s="17" t="s">
        <v>61</v>
      </c>
      <c r="C19" s="10">
        <f>E15+E17+E10</f>
        <v>1900000000</v>
      </c>
      <c r="D19" s="10" t="s">
        <v>41</v>
      </c>
    </row>
    <row r="20" spans="1:6" ht="23.25" customHeight="1">
      <c r="A20" t="s">
        <v>42</v>
      </c>
      <c r="B20" s="54" t="s">
        <v>63</v>
      </c>
      <c r="C20" s="50"/>
      <c r="D20" s="10">
        <f>E20*10%</f>
        <v>46000000</v>
      </c>
      <c r="E20" s="10">
        <f>C19-1440000000</f>
        <v>460000000</v>
      </c>
    </row>
    <row r="21" spans="1:6" ht="12.75" customHeight="1">
      <c r="A21" t="s">
        <v>43</v>
      </c>
      <c r="B21" s="54" t="s">
        <v>62</v>
      </c>
      <c r="C21" s="50"/>
      <c r="D21" s="10">
        <f>E21*10%</f>
        <v>36000000</v>
      </c>
      <c r="E21" s="10">
        <f>E15-1440000000</f>
        <v>360000000</v>
      </c>
      <c r="F21" s="10">
        <v>180</v>
      </c>
    </row>
    <row r="22" spans="1:6">
      <c r="A22" t="s">
        <v>44</v>
      </c>
      <c r="B22" s="55" t="s">
        <v>45</v>
      </c>
      <c r="C22" s="55"/>
      <c r="D22" s="15">
        <f>D21*2/12</f>
        <v>6000000</v>
      </c>
    </row>
    <row r="23" spans="1:6">
      <c r="A23" t="s">
        <v>46</v>
      </c>
      <c r="B23" s="50" t="s">
        <v>47</v>
      </c>
      <c r="C23" s="50"/>
      <c r="D23" s="10">
        <f>D20-D21</f>
        <v>10000000</v>
      </c>
    </row>
    <row r="24" spans="1:6">
      <c r="A24" t="s">
        <v>48</v>
      </c>
      <c r="B24" s="50" t="s">
        <v>49</v>
      </c>
      <c r="C24" s="50"/>
      <c r="D24" s="10">
        <f>D22+D23</f>
        <v>16000000</v>
      </c>
    </row>
    <row r="25" spans="1:6">
      <c r="B25" t="s">
        <v>50</v>
      </c>
      <c r="D25" s="14">
        <v>10000000</v>
      </c>
    </row>
    <row r="26" spans="1:6">
      <c r="B26" t="s">
        <v>51</v>
      </c>
      <c r="D26" s="10">
        <f>D24-D25</f>
        <v>6000000</v>
      </c>
    </row>
  </sheetData>
  <mergeCells count="25">
    <mergeCell ref="D1:D2"/>
    <mergeCell ref="D4:D5"/>
    <mergeCell ref="E1:E2"/>
    <mergeCell ref="E4:E5"/>
    <mergeCell ref="A1:A2"/>
    <mergeCell ref="A4:A5"/>
    <mergeCell ref="A7:A8"/>
    <mergeCell ref="A10:A11"/>
    <mergeCell ref="B7:B8"/>
    <mergeCell ref="B4:B5"/>
    <mergeCell ref="B1:B2"/>
    <mergeCell ref="B10:B11"/>
    <mergeCell ref="C10:C11"/>
    <mergeCell ref="D10:D11"/>
    <mergeCell ref="E10:E11"/>
    <mergeCell ref="E7:E8"/>
    <mergeCell ref="D7:D8"/>
    <mergeCell ref="C7:C8"/>
    <mergeCell ref="B24:C24"/>
    <mergeCell ref="B14:C14"/>
    <mergeCell ref="B15:D15"/>
    <mergeCell ref="B20:C20"/>
    <mergeCell ref="B21:C21"/>
    <mergeCell ref="B22:C22"/>
    <mergeCell ref="B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977F-CCC8-4F39-8029-3BB8174C2644}">
  <dimension ref="A1:B2"/>
  <sheetViews>
    <sheetView rightToLeft="1" workbookViewId="0">
      <selection activeCell="B4" sqref="B4"/>
    </sheetView>
  </sheetViews>
  <sheetFormatPr defaultRowHeight="12.75"/>
  <cols>
    <col min="1" max="1" width="59.140625" bestFit="1" customWidth="1"/>
    <col min="2" max="2" width="62.5703125" bestFit="1" customWidth="1"/>
  </cols>
  <sheetData>
    <row r="1" spans="1:2">
      <c r="A1" t="s">
        <v>64</v>
      </c>
      <c r="B1" t="s">
        <v>66</v>
      </c>
    </row>
    <row r="2" spans="1:2">
      <c r="A2" t="s">
        <v>65</v>
      </c>
      <c r="B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2487-B1AF-4D8B-A92C-7D8FBB153B44}">
  <dimension ref="A1:J26"/>
  <sheetViews>
    <sheetView rightToLeft="1" zoomScale="110" zoomScaleNormal="110" workbookViewId="0">
      <selection activeCell="E7" sqref="E7:E8"/>
    </sheetView>
  </sheetViews>
  <sheetFormatPr defaultRowHeight="12.75"/>
  <cols>
    <col min="2" max="2" width="30.5703125" bestFit="1" customWidth="1"/>
    <col min="3" max="3" width="23.28515625" style="10" customWidth="1"/>
    <col min="4" max="4" width="11.42578125" style="10" bestFit="1" customWidth="1"/>
    <col min="5" max="5" width="13.140625" style="10" bestFit="1" customWidth="1"/>
    <col min="6" max="6" width="11.28515625" style="10" bestFit="1" customWidth="1"/>
    <col min="7" max="7" width="9.140625" style="10"/>
    <col min="8" max="10" width="9.140625" style="7"/>
  </cols>
  <sheetData>
    <row r="1" spans="1:5">
      <c r="A1" s="62" t="s">
        <v>27</v>
      </c>
      <c r="B1" s="62" t="s">
        <v>25</v>
      </c>
      <c r="C1" s="9">
        <v>12</v>
      </c>
      <c r="D1" s="57">
        <v>300000000</v>
      </c>
      <c r="E1" s="57">
        <f>D1*C1/C2</f>
        <v>1800000000</v>
      </c>
    </row>
    <row r="2" spans="1:5">
      <c r="A2" s="62"/>
      <c r="B2" s="62"/>
      <c r="C2" s="9">
        <v>2</v>
      </c>
      <c r="D2" s="57"/>
      <c r="E2" s="57"/>
    </row>
    <row r="4" spans="1:5">
      <c r="A4" s="62" t="s">
        <v>28</v>
      </c>
      <c r="B4" s="62" t="s">
        <v>26</v>
      </c>
      <c r="C4" s="9">
        <v>12</v>
      </c>
      <c r="D4" s="63">
        <v>60000000</v>
      </c>
      <c r="E4" s="63">
        <f>D4*C4/C5</f>
        <v>360000000</v>
      </c>
    </row>
    <row r="5" spans="1:5">
      <c r="A5" s="62"/>
      <c r="B5" s="62"/>
      <c r="C5" s="9">
        <v>2</v>
      </c>
      <c r="D5" s="63"/>
      <c r="E5" s="63"/>
    </row>
    <row r="6" spans="1:5">
      <c r="C6" s="10">
        <v>240000000</v>
      </c>
    </row>
    <row r="7" spans="1:5">
      <c r="A7" s="62" t="s">
        <v>29</v>
      </c>
      <c r="B7" s="62" t="s">
        <v>30</v>
      </c>
      <c r="C7" s="60"/>
      <c r="D7" s="58">
        <v>260000000</v>
      </c>
      <c r="E7" s="58">
        <f>D7</f>
        <v>260000000</v>
      </c>
    </row>
    <row r="8" spans="1:5">
      <c r="A8" s="62"/>
      <c r="B8" s="62"/>
      <c r="C8" s="61"/>
      <c r="D8" s="59"/>
      <c r="E8" s="59"/>
    </row>
    <row r="10" spans="1:5">
      <c r="A10" s="62" t="s">
        <v>31</v>
      </c>
      <c r="B10" s="62" t="s">
        <v>32</v>
      </c>
      <c r="C10" s="56"/>
      <c r="D10" s="57">
        <v>80000000</v>
      </c>
      <c r="E10" s="57">
        <f>D10</f>
        <v>80000000</v>
      </c>
    </row>
    <row r="11" spans="1:5">
      <c r="A11" s="62"/>
      <c r="B11" s="62"/>
      <c r="C11" s="56"/>
      <c r="D11" s="57"/>
      <c r="E11" s="57"/>
    </row>
    <row r="13" spans="1:5">
      <c r="A13" t="s">
        <v>35</v>
      </c>
      <c r="B13" s="16" t="s">
        <v>34</v>
      </c>
      <c r="C13" s="18">
        <f>E4-C6</f>
        <v>120000000</v>
      </c>
      <c r="E13" s="10" t="s">
        <v>33</v>
      </c>
    </row>
    <row r="14" spans="1:5">
      <c r="B14" s="51" t="s">
        <v>59</v>
      </c>
      <c r="C14" s="51"/>
      <c r="E14" s="10">
        <f>C13</f>
        <v>120000000</v>
      </c>
    </row>
    <row r="15" spans="1:5" ht="20.25" customHeight="1">
      <c r="A15" t="s">
        <v>37</v>
      </c>
      <c r="B15" s="52"/>
      <c r="C15" s="53"/>
      <c r="D15" s="53"/>
      <c r="E15" s="10">
        <f>E1+E14</f>
        <v>1920000000</v>
      </c>
    </row>
    <row r="17" spans="1:6">
      <c r="A17" t="s">
        <v>38</v>
      </c>
      <c r="B17" s="13" t="s">
        <v>68</v>
      </c>
      <c r="C17" s="12" t="s">
        <v>60</v>
      </c>
      <c r="D17" s="10" t="s">
        <v>36</v>
      </c>
      <c r="E17" s="10">
        <f>C13+E7</f>
        <v>380000000</v>
      </c>
      <c r="F17" s="19">
        <f>E7</f>
        <v>260000000</v>
      </c>
    </row>
    <row r="19" spans="1:6" ht="22.5">
      <c r="A19" t="s">
        <v>40</v>
      </c>
      <c r="B19" s="17" t="s">
        <v>61</v>
      </c>
      <c r="C19" s="10">
        <f>E15+F17+E10</f>
        <v>2260000000</v>
      </c>
      <c r="D19" s="10" t="s">
        <v>41</v>
      </c>
    </row>
    <row r="20" spans="1:6" ht="23.25" customHeight="1">
      <c r="A20" t="s">
        <v>42</v>
      </c>
      <c r="B20" s="54" t="s">
        <v>63</v>
      </c>
      <c r="C20" s="50"/>
      <c r="D20" s="10">
        <f>E20*10%</f>
        <v>82000000</v>
      </c>
      <c r="E20" s="10">
        <f>C19-1440000000</f>
        <v>820000000</v>
      </c>
    </row>
    <row r="21" spans="1:6" ht="12.75" customHeight="1">
      <c r="A21" t="s">
        <v>43</v>
      </c>
      <c r="B21" s="54" t="s">
        <v>62</v>
      </c>
      <c r="C21" s="50"/>
      <c r="D21" s="10">
        <f>E21*10%</f>
        <v>48000000</v>
      </c>
      <c r="E21" s="10">
        <f>E15-1440000000</f>
        <v>480000000</v>
      </c>
      <c r="F21" s="10">
        <v>180</v>
      </c>
    </row>
    <row r="22" spans="1:6">
      <c r="A22" t="s">
        <v>44</v>
      </c>
      <c r="B22" s="55" t="s">
        <v>45</v>
      </c>
      <c r="C22" s="55"/>
      <c r="D22" s="15">
        <f>D21*2/12</f>
        <v>8000000</v>
      </c>
    </row>
    <row r="23" spans="1:6">
      <c r="A23" t="s">
        <v>46</v>
      </c>
      <c r="B23" s="50" t="s">
        <v>47</v>
      </c>
      <c r="C23" s="50"/>
      <c r="D23" s="10">
        <f>D20-D21</f>
        <v>34000000</v>
      </c>
    </row>
    <row r="24" spans="1:6">
      <c r="A24" t="s">
        <v>48</v>
      </c>
      <c r="B24" s="50" t="s">
        <v>49</v>
      </c>
      <c r="C24" s="50"/>
      <c r="D24" s="10">
        <f>D22+D23</f>
        <v>42000000</v>
      </c>
    </row>
    <row r="25" spans="1:6">
      <c r="B25" t="s">
        <v>50</v>
      </c>
      <c r="D25" s="14">
        <v>10000000</v>
      </c>
    </row>
    <row r="26" spans="1:6">
      <c r="B26" t="s">
        <v>51</v>
      </c>
      <c r="D26" s="10">
        <f>D24-D25</f>
        <v>32000000</v>
      </c>
    </row>
  </sheetData>
  <mergeCells count="25">
    <mergeCell ref="B24:C24"/>
    <mergeCell ref="B14:C14"/>
    <mergeCell ref="B15:D15"/>
    <mergeCell ref="B20:C20"/>
    <mergeCell ref="B21:C21"/>
    <mergeCell ref="B22:C22"/>
    <mergeCell ref="B23:C23"/>
    <mergeCell ref="A7:A8"/>
    <mergeCell ref="B7:B8"/>
    <mergeCell ref="C7:C8"/>
    <mergeCell ref="D7:D8"/>
    <mergeCell ref="E7:E8"/>
    <mergeCell ref="A10:A11"/>
    <mergeCell ref="B10:B11"/>
    <mergeCell ref="C10:C11"/>
    <mergeCell ref="D10:D11"/>
    <mergeCell ref="E10:E11"/>
    <mergeCell ref="A1:A2"/>
    <mergeCell ref="B1:B2"/>
    <mergeCell ref="D1:D2"/>
    <mergeCell ref="E1:E2"/>
    <mergeCell ref="A4:A5"/>
    <mergeCell ref="B4:B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نهایی </vt:lpstr>
      <vt:lpstr>Sheet1</vt:lpstr>
      <vt:lpstr>Sheet1 (2)</vt:lpstr>
      <vt:lpstr>Sheet3</vt:lpstr>
      <vt:lpstr>Sheet5</vt:lpstr>
      <vt:lpstr>با فرض مستمر نقدی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tejarat hooshmand dorsan</dc:creator>
  <dc:description/>
  <cp:lastModifiedBy>armin alizadeh</cp:lastModifiedBy>
  <cp:revision>1</cp:revision>
  <dcterms:created xsi:type="dcterms:W3CDTF">2024-06-04T17:03:12Z</dcterms:created>
  <dcterms:modified xsi:type="dcterms:W3CDTF">2024-07-12T09:52:28Z</dcterms:modified>
  <dc:language>en-US</dc:language>
</cp:coreProperties>
</file>